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codeName="ThisWorkbook" defaultThemeVersion="124226"/>
  <mc:AlternateContent xmlns:mc="http://schemas.openxmlformats.org/markup-compatibility/2006">
    <mc:Choice Requires="x15">
      <x15ac:absPath xmlns:x15ac="http://schemas.microsoft.com/office/spreadsheetml/2010/11/ac" url="F:\_Pública\FES\2. METODOLOGÍAS\2022\NO LIKEN\METODOLOGIA_Residuo Organico Nitrogeno\"/>
    </mc:Choice>
  </mc:AlternateContent>
  <xr:revisionPtr revIDLastSave="0" documentId="13_ncr:1_{BF0E9800-ABFE-4C5A-A205-BE1515B83970}" xr6:coauthVersionLast="47" xr6:coauthVersionMax="47" xr10:uidLastSave="{00000000-0000-0000-0000-000000000000}"/>
  <bookViews>
    <workbookView xWindow="-120" yWindow="-120" windowWidth="20730" windowHeight="11160" tabRatio="699" activeTab="2" xr2:uid="{00000000-000D-0000-FFFF-FFFF00000000}"/>
  </bookViews>
  <sheets>
    <sheet name="Alcance y contenido" sheetId="16" r:id="rId1"/>
    <sheet name="Diagrama de flujo" sheetId="15" r:id="rId2"/>
    <sheet name="Emisiones línea base (EB)" sheetId="13" r:id="rId3"/>
    <sheet name="Emisiones línea proyecto (EP)" sheetId="8" r:id="rId4"/>
    <sheet name="Resumen emisiones" sheetId="11" r:id="rId5"/>
    <sheet name="CALCULADORA DIG_COMPOS" sheetId="17" r:id="rId6"/>
    <sheet name="Listas calculos" sheetId="14" r:id="rId7"/>
  </sheets>
  <externalReferences>
    <externalReference r:id="rId8"/>
    <externalReference r:id="rId9"/>
  </externalReferences>
  <definedNames>
    <definedName name="Combustible">'Listas calculos'!$B$9:$B$18</definedName>
    <definedName name="COMBUSTIBLE2">'Listas calculos'!$B$8:$B$22</definedName>
    <definedName name="Consulta_desde_DANIEL" localSheetId="2">'Emisiones línea base (EB)'!#REF!</definedName>
    <definedName name="Consulta_desde_DANIEL_2" localSheetId="3">'Emisiones línea proyecto (EP)'!$I$79:$J$80</definedName>
    <definedName name="DESTINO_FS">'Listas calculos'!$B$4:$B$6</definedName>
    <definedName name="GdO">[1]Datos!$H$122:$H$123</definedName>
    <definedName name="Práctica_conservación_suelos">[2]Datos!$D$281:$D$287</definedName>
    <definedName name="Proceso">'Listas calculos'!$B$29:$B$35</definedName>
    <definedName name="Provincias">'Listas calculos'!#REF!</definedName>
    <definedName name="Provincias4">#REF!</definedName>
    <definedName name="Residuos">'Listas calculos'!$B$44:$B$49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13" l="1"/>
  <c r="B9" i="13"/>
  <c r="G16" i="13" s="1"/>
  <c r="M83" i="13"/>
  <c r="H12" i="17" l="1"/>
  <c r="I12" i="17" s="1"/>
  <c r="F19" i="17"/>
  <c r="G19" i="17" s="1"/>
  <c r="H19" i="17" l="1"/>
  <c r="F12" i="17" l="1"/>
  <c r="G12" i="17" s="1"/>
  <c r="N118" i="8" l="1"/>
  <c r="D39" i="13" l="1"/>
  <c r="D37" i="13"/>
  <c r="D36" i="13"/>
  <c r="E19" i="13" l="1"/>
  <c r="C37" i="13" s="1"/>
  <c r="E20" i="13"/>
  <c r="C38" i="13" s="1"/>
  <c r="E21" i="13"/>
  <c r="C39" i="13" s="1"/>
  <c r="E18" i="13"/>
  <c r="C36" i="13" s="1"/>
  <c r="G36" i="13" s="1"/>
  <c r="G38" i="13" l="1"/>
  <c r="H38" i="13" s="1"/>
  <c r="I38" i="13" s="1"/>
  <c r="H36" i="13"/>
  <c r="I36" i="13" s="1"/>
  <c r="G37" i="13"/>
  <c r="H37" i="13" s="1"/>
  <c r="I37" i="13" s="1"/>
  <c r="H39" i="13"/>
  <c r="I39" i="13" s="1"/>
  <c r="I40" i="13" l="1"/>
  <c r="C9" i="13"/>
  <c r="E11" i="8" l="1"/>
  <c r="C12" i="8"/>
  <c r="O53" i="8"/>
  <c r="K38" i="13" l="1"/>
  <c r="L38" i="13" s="1"/>
  <c r="M38" i="13" s="1"/>
  <c r="K39" i="13"/>
  <c r="L39" i="13" s="1"/>
  <c r="M39" i="13" s="1"/>
  <c r="K37" i="13"/>
  <c r="L37" i="13" s="1"/>
  <c r="M37" i="13" s="1"/>
  <c r="K36" i="13"/>
  <c r="L36" i="13" s="1"/>
  <c r="M36" i="13" s="1"/>
  <c r="P37" i="13"/>
  <c r="P38" i="13"/>
  <c r="P39" i="13"/>
  <c r="P36" i="13"/>
  <c r="O17" i="8"/>
  <c r="O12" i="8"/>
  <c r="I6" i="13"/>
  <c r="E82" i="13"/>
  <c r="F82" i="13"/>
  <c r="D82" i="13"/>
  <c r="M40" i="13" l="1"/>
  <c r="D88" i="13" s="1"/>
  <c r="P40" i="13"/>
  <c r="B47" i="13" s="1"/>
  <c r="G47" i="13" l="1"/>
  <c r="H47" i="13" s="1"/>
  <c r="D47" i="13"/>
  <c r="J82" i="13"/>
  <c r="K82" i="13"/>
  <c r="M82" i="13" s="1"/>
  <c r="B53" i="13" l="1"/>
  <c r="E47" i="13"/>
  <c r="I47" i="13"/>
  <c r="K47" i="13" s="1"/>
  <c r="L47" i="13" s="1"/>
  <c r="M47" i="13" s="1"/>
  <c r="C47" i="8"/>
  <c r="D43" i="8"/>
  <c r="C43" i="8"/>
  <c r="C52" i="14"/>
  <c r="C53" i="14"/>
  <c r="B53" i="14"/>
  <c r="B52" i="14"/>
  <c r="H60" i="13" l="1"/>
  <c r="I60" i="13"/>
  <c r="E60" i="13"/>
  <c r="G60" i="13"/>
  <c r="D60" i="13"/>
  <c r="J60" i="13"/>
  <c r="I5" i="13" l="1"/>
  <c r="Q60" i="8"/>
  <c r="R60" i="8"/>
  <c r="P60" i="8"/>
  <c r="P53" i="8"/>
  <c r="Q53" i="8" s="1"/>
  <c r="O48" i="8"/>
  <c r="P48" i="8"/>
  <c r="P47" i="8"/>
  <c r="O47" i="8"/>
  <c r="P43" i="8"/>
  <c r="O43" i="8"/>
  <c r="E60" i="8"/>
  <c r="F60" i="8"/>
  <c r="D60" i="8"/>
  <c r="E53" i="8"/>
  <c r="E54" i="8"/>
  <c r="E52" i="8"/>
  <c r="C53" i="8"/>
  <c r="C54" i="8"/>
  <c r="C52" i="8"/>
  <c r="J55" i="8"/>
  <c r="J52" i="8"/>
  <c r="J47" i="8"/>
  <c r="J48" i="8"/>
  <c r="J49" i="8"/>
  <c r="J50" i="8"/>
  <c r="J51" i="8"/>
  <c r="E43" i="8"/>
  <c r="E110" i="8" l="1"/>
  <c r="F110" i="8" s="1"/>
  <c r="F52" i="8" s="1"/>
  <c r="S47" i="8"/>
  <c r="E102" i="8"/>
  <c r="F102" i="8" s="1"/>
  <c r="O44" i="8"/>
  <c r="S43" i="8"/>
  <c r="L58" i="8"/>
  <c r="E105" i="8"/>
  <c r="E99" i="8"/>
  <c r="O49" i="8"/>
  <c r="S48" i="8"/>
  <c r="E103" i="8"/>
  <c r="E107" i="8"/>
  <c r="E101" i="8"/>
  <c r="E98" i="8"/>
  <c r="E106" i="8"/>
  <c r="E109" i="8"/>
  <c r="F109" i="8" s="1"/>
  <c r="E100" i="8"/>
  <c r="E108" i="8"/>
  <c r="E104" i="8"/>
  <c r="D80" i="8"/>
  <c r="D79" i="8"/>
  <c r="F117" i="8"/>
  <c r="G117" i="8"/>
  <c r="E117" i="8"/>
  <c r="F116" i="8"/>
  <c r="G116" i="8"/>
  <c r="E116" i="8"/>
  <c r="D68" i="13"/>
  <c r="J61" i="13"/>
  <c r="J62" i="13" s="1"/>
  <c r="H61" i="13"/>
  <c r="H62" i="13" s="1"/>
  <c r="G61" i="13"/>
  <c r="G62" i="13" s="1"/>
  <c r="E61" i="13"/>
  <c r="E62" i="13" s="1"/>
  <c r="D61" i="13"/>
  <c r="D62" i="13" s="1"/>
  <c r="F54" i="8" l="1"/>
  <c r="F53" i="8"/>
  <c r="L116" i="8"/>
  <c r="N116" i="8" s="1"/>
  <c r="K116" i="8"/>
  <c r="I7" i="8" l="1"/>
  <c r="K26" i="8"/>
  <c r="I5" i="8"/>
  <c r="S15" i="8"/>
  <c r="S16" i="8"/>
  <c r="S11" i="8"/>
  <c r="D26" i="14"/>
  <c r="C26" i="14"/>
  <c r="B26" i="14"/>
  <c r="D25" i="14"/>
  <c r="C25" i="14"/>
  <c r="B25" i="14"/>
  <c r="D24" i="14"/>
  <c r="C24" i="14"/>
  <c r="B24" i="14"/>
  <c r="K60" i="13" s="1"/>
  <c r="I61" i="13" l="1"/>
  <c r="I62" i="13" l="1"/>
  <c r="K62" i="13" s="1"/>
  <c r="E68" i="13" s="1"/>
  <c r="K61" i="13"/>
  <c r="F68" i="13" l="1"/>
  <c r="G68" i="13" s="1"/>
  <c r="E75" i="13"/>
  <c r="J75" i="13" s="1"/>
  <c r="E73" i="13"/>
  <c r="E71" i="13"/>
  <c r="E72" i="13"/>
  <c r="E74" i="13"/>
  <c r="E69" i="13"/>
  <c r="J69" i="13" s="1"/>
  <c r="M69" i="13" s="1"/>
  <c r="C92" i="8"/>
  <c r="E92" i="8" s="1"/>
  <c r="D47" i="8" s="1"/>
  <c r="F99" i="8"/>
  <c r="F100" i="8"/>
  <c r="F101" i="8"/>
  <c r="F103" i="8"/>
  <c r="F104" i="8"/>
  <c r="F105" i="8"/>
  <c r="F106" i="8"/>
  <c r="F107" i="8"/>
  <c r="F108" i="8"/>
  <c r="F98" i="8"/>
  <c r="F111" i="8" l="1"/>
  <c r="F69" i="13"/>
  <c r="G69" i="13" s="1"/>
  <c r="E70" i="13"/>
  <c r="L117" i="8"/>
  <c r="N117" i="8" s="1"/>
  <c r="S60" i="8" s="1"/>
  <c r="K117" i="8"/>
  <c r="G60" i="8"/>
  <c r="E69" i="8" l="1"/>
  <c r="E30" i="11" s="1"/>
  <c r="F73" i="13"/>
  <c r="F71" i="13"/>
  <c r="F70" i="13"/>
  <c r="G70" i="13" s="1"/>
  <c r="F74" i="13"/>
  <c r="F72" i="13"/>
  <c r="G72" i="13" l="1"/>
  <c r="J72" i="13"/>
  <c r="K72" i="13"/>
  <c r="K73" i="13"/>
  <c r="J73" i="13"/>
  <c r="G73" i="13"/>
  <c r="K71" i="13"/>
  <c r="J71" i="13"/>
  <c r="G71" i="13"/>
  <c r="G74" i="13"/>
  <c r="J74" i="13"/>
  <c r="K74" i="13"/>
  <c r="M75" i="13"/>
  <c r="F75" i="13"/>
  <c r="G75" i="13" s="1"/>
  <c r="J76" i="13" l="1"/>
  <c r="M74" i="13"/>
  <c r="K76" i="13"/>
  <c r="M72" i="13"/>
  <c r="M71" i="13"/>
  <c r="M76" i="13" s="1"/>
  <c r="M73" i="13"/>
  <c r="M70" i="13" l="1"/>
  <c r="D90" i="13"/>
  <c r="E53" i="13"/>
  <c r="H53" i="13" s="1"/>
  <c r="J87" i="8" l="1"/>
  <c r="O87" i="8" s="1"/>
  <c r="F79" i="8"/>
  <c r="D86" i="8" s="1"/>
  <c r="F80" i="8"/>
  <c r="G79" i="8" l="1"/>
  <c r="I79" i="8"/>
  <c r="H86" i="8"/>
  <c r="J86" i="8"/>
  <c r="O86" i="8" s="1"/>
  <c r="G80" i="8"/>
  <c r="D87" i="8"/>
  <c r="H87" i="8" s="1"/>
  <c r="P87" i="8" s="1"/>
  <c r="Q87" i="8" s="1"/>
  <c r="R87" i="8" s="1"/>
  <c r="I80" i="8"/>
  <c r="K80" i="8" s="1"/>
  <c r="L80" i="8" s="1"/>
  <c r="M80" i="8" s="1"/>
  <c r="T43" i="8" l="1"/>
  <c r="C38" i="14"/>
  <c r="K79" i="8"/>
  <c r="L79" i="8" s="1"/>
  <c r="M79" i="8" s="1"/>
  <c r="P86" i="8"/>
  <c r="Q86" i="8" s="1"/>
  <c r="R86" i="8" s="1"/>
  <c r="T47" i="8" l="1"/>
  <c r="C39" i="14"/>
  <c r="E67" i="8" l="1"/>
  <c r="E68" i="8"/>
  <c r="E29" i="11" s="1"/>
  <c r="D53" i="13"/>
  <c r="I53" i="13" s="1"/>
  <c r="D15" i="11" l="1"/>
  <c r="C41" i="14"/>
  <c r="J53" i="13"/>
  <c r="K53" i="13" s="1"/>
  <c r="D89" i="13" l="1"/>
  <c r="D91" i="13" l="1"/>
  <c r="D8" i="11" s="1"/>
  <c r="E28" i="11" s="1"/>
  <c r="E31" i="11" s="1"/>
  <c r="F31" i="11" l="1"/>
  <c r="D2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OECC</author>
  </authors>
  <commentList>
    <comment ref="B39" authorId="0" shapeId="0" xr:uid="{BC2A4D1E-8872-4F7A-9CF4-39392EEAF36A}">
      <text>
        <r>
          <rPr>
            <b/>
            <sz val="9"/>
            <color indexed="81"/>
            <rFont val="Tahoma"/>
            <family val="2"/>
          </rPr>
          <t xml:space="preserve">Las celdas en amarillo para el caso del porcino se deben cumplimientar teniendo en cuenta los valores dados en las intrucciones del documento word de la Metodología ex ante </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2" type="1" refreshedVersion="2" savePassword="1" saveData="1">
    <dbPr connection="DSN=DANIEL;UID=aed;PWD=vajhajnotu;DBQ=DANIEL;DBA=W;APA=T;EXC=F;FEN=T;QTO=T;FRC=10;FDL=10;LOB=T;RST=T;BTD=F;BAM=IfAllSuccessful;NUM=NLS;DPM=F;MTS=T;MDI=F;CSR=F;FWC=F;FBS=64000;TLO=O;" command="select e.animal, c.codigo, e.categoria, p.provincia, p.nombre, e.ne / e.cantidad, e.fe_est_n2o_x000d__x000a_from  ganado.animales_emisiones_90_10 e,_x000d__x000a_      ine.provincias p,_x000d__x000a_      ganado.categorias_animales c_x000d__x000a_where e.anno in (select max (anno) from ganado.animales_emisiones_90_10)_x000d__x000a_and   e.animal = 'PORCINO BLANCO'_x000d__x000a_and   e.provincia = p.provincia_x000d__x000a_and   p.nombre like 'TERUEL'_x000d__x000a_and   c.animal = e.animal_x000d__x000a_and   c.categoria = e.categoria_x000d__x000a_order by 4, 1, 2"/>
  </connection>
  <connection id="2" xr16:uid="{00000000-0015-0000-FFFF-FFFF01000000}" name="Conexión3" type="1" refreshedVersion="2" savePassword="1" saveData="1">
    <dbPr connection="DSN=DANIEL;UID=aed;PWD=vajhajnotu;DBQ=DANIEL;DBA=W;APA=T;EXC=F;FEN=T;QTO=T;FRC=10;FDL=10;LOB=T;RST=T;BTD=F;BAM=IfAllSuccessful;NUM=NLS;DPM=F;MTS=T;MDI=F;CSR=F;FWC=F;FBS=64000;TLO=O;" command="select e.animal, c.codigo, e.categoria, p.provincia, p.nombre, e.ne / e.cantidad, e.fe_est_n2o_x000d__x000a_from  ganado.animales_emisiones_90_10 e,_x000d__x000a_      ine.provincias p,_x000d__x000a_      ganado.categorias_animales c_x000d__x000a_where e.anno in (select max (anno) from ganado.animales_emisiones_90_10)_x000d__x000a_and   e.animal = 'PORCINO BLANCO'_x000d__x000a_and   e.provincia = p.provincia_x000d__x000a_and   p.nombre like 'TERUEL'_x000d__x000a_and   c.animal = e.animal_x000d__x000a_and   c.categoria = e.categoria_x000d__x000a_order by 4, 1, 2"/>
  </connection>
  <connection id="3" xr16:uid="{00000000-0015-0000-FFFF-FFFF02000000}" name="Conexión4" type="1" refreshedVersion="2" savePassword="1" saveData="1">
    <dbPr connection="DSN=DANIEL;UID=aed;PWD=vajhajnotu;DBQ=DANIEL;DBA=W;APA=T;EXC=F;FEN=T;QTO=T;FRC=10;FDL=10;LOB=T;RST=T;BTD=F;BAM=IfAllSuccessful;NUM=NLS;DPM=F;MTS=T;MDI=F;CSR=F;FWC=F;FBS=64000;TLO=O;" command="select e.animal, c.codigo, e.categoria, p.provincia, p.nombre, e.ne / e.cantidad, e.fe_est_n2o_x000d__x000a_from  ganado.animales_emisiones_90_10 e,_x000d__x000a_      ine.provincias p,_x000d__x000a_      ganado.categorias_animales c_x000d__x000a_where e.anno in (select max (anno) from ganado.animales_emisiones_90_10)_x000d__x000a_and   e.animal = 'PORCINO BLANCO'_x000d__x000a_and   e.provincia = p.provincia_x000d__x000a_and   p.nombre like 'TERUEL'_x000d__x000a_and   c.animal = e.animal_x000d__x000a_and   c.categoria = e.categoria_x000d__x000a_order by 4, 1, 2"/>
  </connection>
  <connection id="4" xr16:uid="{00000000-0015-0000-FFFF-FFFF03000000}" name="Conexión5" type="1" refreshedVersion="2" savePassword="1" saveData="1">
    <dbPr connection="DSN=DANIEL;UID=aed;PWD=vajhajnotu;DBQ=DANIEL;DBA=W;APA=T;EXC=F;FEN=T;QTO=T;FRC=10;FDL=10;LOB=T;RST=T;BTD=F;BAM=IfAllSuccessful;NUM=NLS;DPM=F;MTS=T;MDI=F;CSR=F;FWC=F;FBS=64000;TLO=O;" command="select e.animal, c.codigo, e.categoria, p.provincia, p.nombre, e.ne / e.cantidad, e.fe_est_n2o_x000d__x000a_from  ganado.animales_emisiones_90_10 e,_x000d__x000a_      ine.provincias p,_x000d__x000a_      ganado.categorias_animales c_x000d__x000a_where e.anno in (select max (anno) from ganado.animales_emisiones_90_10)_x000d__x000a_and   e.animal = 'PORCINO BLANCO'_x000d__x000a_and   e.provincia = p.provincia_x000d__x000a_and   p.nombre like 'TERUEL'_x000d__x000a_and   c.animal = e.animal_x000d__x000a_and   c.categoria = e.categoria_x000d__x000a_order by 4, 1, 2"/>
  </connection>
</connections>
</file>

<file path=xl/sharedStrings.xml><?xml version="1.0" encoding="utf-8"?>
<sst xmlns="http://schemas.openxmlformats.org/spreadsheetml/2006/main" count="478" uniqueCount="237">
  <si>
    <t>f.e.</t>
  </si>
  <si>
    <t>Emisión</t>
  </si>
  <si>
    <t>(kg N2O / kg N)</t>
  </si>
  <si>
    <t>(t N / año)</t>
  </si>
  <si>
    <t>(t N2O)</t>
  </si>
  <si>
    <t>(t CO2-eq)</t>
  </si>
  <si>
    <t>(t N2O-N)</t>
  </si>
  <si>
    <t>(t NOX-N)</t>
  </si>
  <si>
    <t>(t NOX)</t>
  </si>
  <si>
    <t>N</t>
  </si>
  <si>
    <t>(kg NOX / kg N)</t>
  </si>
  <si>
    <t>Ndisponible</t>
  </si>
  <si>
    <t>N2O</t>
  </si>
  <si>
    <t>Proceso</t>
  </si>
  <si>
    <t>Deposición Atmosférica</t>
  </si>
  <si>
    <t>Total Indirectas</t>
  </si>
  <si>
    <t>N volatilizado como NH3 y NOX</t>
  </si>
  <si>
    <t>N aplicado</t>
  </si>
  <si>
    <t>Frac LEACH</t>
  </si>
  <si>
    <t>(kg N2O-N / kg N)</t>
  </si>
  <si>
    <t>(kg N / kg N)</t>
  </si>
  <si>
    <t>Reducción de Emisiones</t>
  </si>
  <si>
    <t>TOTAL EB</t>
  </si>
  <si>
    <t>TOTAL EP</t>
  </si>
  <si>
    <t>NOx</t>
  </si>
  <si>
    <t>N2O - Directas</t>
  </si>
  <si>
    <t>N2O - Indirectas</t>
  </si>
  <si>
    <t xml:space="preserve">ESTIMACIÓN EMISIONES ESCENARIO BASE </t>
  </si>
  <si>
    <t>ESTIMACIÓN EMISIONES ESCENARIO PROYECTO</t>
  </si>
  <si>
    <t xml:space="preserve">RESUMEN EMISIONES PROYECTOS CLIMA </t>
  </si>
  <si>
    <t>TOTAL REDUCCIÓN</t>
  </si>
  <si>
    <t>Escenario Base</t>
  </si>
  <si>
    <t>Escenario Proyecto</t>
  </si>
  <si>
    <t xml:space="preserve">ENTRADAS </t>
  </si>
  <si>
    <t>PROCESO O SUMA DE PROCESOS DEL ESCENARIO DE PROYECTO</t>
  </si>
  <si>
    <t>SALIDAS</t>
  </si>
  <si>
    <t>FRACCIÓN LÍQUIDA</t>
  </si>
  <si>
    <t>FRACCIÓN SÓLIDA</t>
  </si>
  <si>
    <t>Destino final</t>
  </si>
  <si>
    <t>VERTEDERO</t>
  </si>
  <si>
    <t>CH4</t>
  </si>
  <si>
    <t>ELECTRICIDAD</t>
  </si>
  <si>
    <t>KWh /año</t>
  </si>
  <si>
    <t>EMISIONES (t)</t>
  </si>
  <si>
    <t>CO2-eq</t>
  </si>
  <si>
    <t>1. Urbanos o asimilables a urbanos</t>
  </si>
  <si>
    <t>2. Rechazo
compostaje</t>
  </si>
  <si>
    <t>3. Lodos
EDAR
(masa seca)</t>
  </si>
  <si>
    <t>TOTAL</t>
  </si>
  <si>
    <t>Papel y textiles</t>
  </si>
  <si>
    <t>Residuos vegetales y otros orgánicos no alimentarios</t>
  </si>
  <si>
    <t>Residuos alimentarios</t>
  </si>
  <si>
    <t>Madera y similares</t>
  </si>
  <si>
    <t>Cantidad</t>
  </si>
  <si>
    <t>Metano fugado (%)</t>
  </si>
  <si>
    <t>Metano captado (%)</t>
  </si>
  <si>
    <t xml:space="preserve">     Antorcha (%)</t>
  </si>
  <si>
    <t xml:space="preserve">     Caldera (%)</t>
  </si>
  <si>
    <t xml:space="preserve">     Motor (%)</t>
  </si>
  <si>
    <t xml:space="preserve">     Turbina (%)</t>
  </si>
  <si>
    <t xml:space="preserve">     Venteado (%)</t>
  </si>
  <si>
    <t>m3</t>
  </si>
  <si>
    <t>t</t>
  </si>
  <si>
    <t>GJ</t>
  </si>
  <si>
    <t>VALORIZACIÓN ENERGÉTICA</t>
  </si>
  <si>
    <t>EMISIONES CONSUMO ELÉCTRICO</t>
  </si>
  <si>
    <t>Fracción sólida</t>
  </si>
  <si>
    <t>Fracción líquida</t>
  </si>
  <si>
    <t>Emisiones</t>
  </si>
  <si>
    <t>APLICACIÓN EN CAMPO</t>
  </si>
  <si>
    <t>Tipo y unidad</t>
  </si>
  <si>
    <t>Carbón de importación (kg)</t>
  </si>
  <si>
    <t>Carbón nacional (kg)</t>
  </si>
  <si>
    <t>Gas butano (kg)</t>
  </si>
  <si>
    <t>Gas propano (kg)</t>
  </si>
  <si>
    <t>Destino_FS</t>
  </si>
  <si>
    <t>Combustible</t>
  </si>
  <si>
    <t>Biomasa (kg)</t>
  </si>
  <si>
    <t>Coque de petróleo (kg)</t>
  </si>
  <si>
    <t>Fueloleo (kg)</t>
  </si>
  <si>
    <t>Gas natural (kWh)*</t>
  </si>
  <si>
    <t>Gasóleo C (l)</t>
  </si>
  <si>
    <t>Gasolina (l)</t>
  </si>
  <si>
    <t>GLP genérico (l)</t>
  </si>
  <si>
    <t>Otros (ud)</t>
  </si>
  <si>
    <t>Tipo combustible /unidad</t>
  </si>
  <si>
    <t>Factor emisión (kCO2eq/ud)</t>
  </si>
  <si>
    <t>Emisiones (kgCO2)</t>
  </si>
  <si>
    <t>COMBUSTIBLES FÓSILES - INSTALACIONES</t>
  </si>
  <si>
    <t>COMBUSTIBLES FÓSILES - TRANSPORTE</t>
  </si>
  <si>
    <t>Entrada</t>
  </si>
  <si>
    <t>Salida</t>
  </si>
  <si>
    <t>Nº viajes</t>
  </si>
  <si>
    <t>Cantidad transportada (t)</t>
  </si>
  <si>
    <t>Distancia media viaje (km)</t>
  </si>
  <si>
    <t>Flujo materia transportada</t>
  </si>
  <si>
    <t>EMISIONES COMBUSTIBLES FÓSILES - INSTALACIONES FIJAS</t>
  </si>
  <si>
    <t>EMISIONES COMBUSTIBLES FÓSILES - TRANSPORTE</t>
  </si>
  <si>
    <t>Factor de consumo (l/ton-km)</t>
  </si>
  <si>
    <t>Factor de emisión (kg CO2/l )</t>
  </si>
  <si>
    <t>Toneladas</t>
  </si>
  <si>
    <t xml:space="preserve">                                                                                                                                                Toneladas - km</t>
  </si>
  <si>
    <t>Emisiones totales (t CO2)</t>
  </si>
  <si>
    <t>t/año</t>
  </si>
  <si>
    <t>Procesos</t>
  </si>
  <si>
    <t>Separación líquido-sólido</t>
  </si>
  <si>
    <t>Biodigestión</t>
  </si>
  <si>
    <t>Compostaje</t>
  </si>
  <si>
    <t>Nitrificación - Desnitrificación</t>
  </si>
  <si>
    <t>Secado</t>
  </si>
  <si>
    <t>Otros</t>
  </si>
  <si>
    <t>Aplicación en campo FL</t>
  </si>
  <si>
    <t>Emisones
tCO2eq</t>
  </si>
  <si>
    <t>%</t>
  </si>
  <si>
    <t>Metano generado</t>
  </si>
  <si>
    <t>-</t>
  </si>
  <si>
    <t xml:space="preserve">Total emisiones </t>
  </si>
  <si>
    <t>Emisiones escenario proyecto</t>
  </si>
  <si>
    <t>Emisiones adicionales</t>
  </si>
  <si>
    <t>t  N / año</t>
  </si>
  <si>
    <t>t N/año</t>
  </si>
  <si>
    <t>tN/t m.o.</t>
  </si>
  <si>
    <t>MATERIA ORGÁNICA (m.o.)</t>
  </si>
  <si>
    <t xml:space="preserve">De manera indicativa seleccione el proceso o procesos </t>
  </si>
  <si>
    <t>*</t>
  </si>
  <si>
    <t>Las emisiones derivadas de estos procesos se utilizan únicamente para analizar la sostenibilidad ambiental del proyecto y no para el cálculo de las emisiones del escenario de proyecto</t>
  </si>
  <si>
    <t>Si ha seleccionado "otros" nombre el proceso:</t>
  </si>
  <si>
    <t>Eficiencia del proceso en eliminación de N :</t>
  </si>
  <si>
    <t>Residuos</t>
  </si>
  <si>
    <t>Rechazo
compostaje</t>
  </si>
  <si>
    <t>Lodos
EDAR
(masa seca)</t>
  </si>
  <si>
    <t>Tipo residuo 2</t>
  </si>
  <si>
    <t>Tipo residuo 1</t>
  </si>
  <si>
    <t>Cantidad 2
(t/año)</t>
  </si>
  <si>
    <t>Cantidad 1
(t/año)</t>
  </si>
  <si>
    <t>EMISIONES POR DEPÓSITO EN VERTEDERO</t>
  </si>
  <si>
    <t>EMISIONES POR APLICACIÓN EN CAMPO</t>
  </si>
  <si>
    <t>Cantidad depositada (t)</t>
  </si>
  <si>
    <t>Potencial generación CH4 (t)</t>
  </si>
  <si>
    <t>CH4 generado (t)</t>
  </si>
  <si>
    <t>Factor emisión
 (g /t CH4 quemado)</t>
  </si>
  <si>
    <t>RESUMEN EMISIONES ESCENARIO BASE</t>
  </si>
  <si>
    <t>Apliación en campo</t>
  </si>
  <si>
    <t>Depósito en vertedero</t>
  </si>
  <si>
    <t>RESUMEN EMISIONES ESCENARIO PROYECTO</t>
  </si>
  <si>
    <t>DATOS DE ENTRADA: COMPLETAR LAS CELDAS CON FONDO AMARILLO</t>
  </si>
  <si>
    <t>ESTIMACIÓN EMISIONES ESCENARIO PROYECTO - RESUMEN</t>
  </si>
  <si>
    <t>ESTIMACIÓN EMISIONES ESCENARIO PROYECTO - DETALLE CÁLCULOS</t>
  </si>
  <si>
    <t>Producto Final</t>
  </si>
  <si>
    <t xml:space="preserve"> Producto Final</t>
  </si>
  <si>
    <t>N
disponible</t>
  </si>
  <si>
    <r>
      <t>Emisiones
(kg CO</t>
    </r>
    <r>
      <rPr>
        <b/>
        <vertAlign val="subscript"/>
        <sz val="11"/>
        <rFont val="Calibri"/>
        <family val="2"/>
        <scheme val="minor"/>
      </rPr>
      <t>2</t>
    </r>
    <r>
      <rPr>
        <b/>
        <sz val="11"/>
        <rFont val="Calibri"/>
        <family val="2"/>
        <scheme val="minor"/>
      </rPr>
      <t>)</t>
    </r>
  </si>
  <si>
    <t xml:space="preserve"> Dato de consumo (kWh/año)</t>
  </si>
  <si>
    <r>
      <t xml:space="preserve">  Factor emisión 
  (kg CO</t>
    </r>
    <r>
      <rPr>
        <b/>
        <vertAlign val="subscript"/>
        <sz val="11"/>
        <rFont val="Calibri"/>
        <family val="2"/>
        <scheme val="minor"/>
      </rPr>
      <t>2</t>
    </r>
    <r>
      <rPr>
        <b/>
        <sz val="11"/>
        <rFont val="Calibri"/>
        <family val="2"/>
        <scheme val="minor"/>
      </rPr>
      <t>/kWh)</t>
    </r>
  </si>
  <si>
    <t>INFORMACIÓN ADICIONAL: SOSTENIBILIDAD AMBIENTAL</t>
  </si>
  <si>
    <t>Contabilidad P. Clima</t>
  </si>
  <si>
    <t>Fracción solida (t)</t>
  </si>
  <si>
    <t>Cumplimente según el
 destino del residuo 
orgánico rico en
 nitrógeno 
en el escenario base</t>
  </si>
  <si>
    <t>TOTAL 
t/año</t>
  </si>
  <si>
    <t>A. APLICACIÓN EN CAMPO</t>
  </si>
  <si>
    <t>B. DEPÓSITO EN VERTEDERO</t>
  </si>
  <si>
    <t>FRACCIÓN GASEOSA</t>
  </si>
  <si>
    <t xml:space="preserve">   TOTAL EB</t>
  </si>
  <si>
    <t>En caso de existir transporte de los residuos a su destino facilite la siguiente información:</t>
  </si>
  <si>
    <t>tN/t</t>
  </si>
  <si>
    <t xml:space="preserve">RESIDUO ORGÁNICO </t>
  </si>
  <si>
    <t>N20 (m3N)</t>
  </si>
  <si>
    <t>CH4 (m3N)</t>
  </si>
  <si>
    <t>Estas celdas se autocompletan con la información facilitada en la pestaña "Emisiones línea proyecto (EP)"</t>
  </si>
  <si>
    <t>Flujo residuo transportado</t>
  </si>
  <si>
    <t>NH3</t>
  </si>
  <si>
    <t>t N / año</t>
  </si>
  <si>
    <t>(kg NH3-N / kg N)</t>
  </si>
  <si>
    <t>(t NH3-N)</t>
  </si>
  <si>
    <t>(t NH3)</t>
  </si>
  <si>
    <t>DESTINO FINAL FRACCIÓN SÓLIDA Y LÍQUIDA - EMISIONES  EN CAMPO</t>
  </si>
  <si>
    <t>Tipo residuo</t>
  </si>
  <si>
    <t>DATOS Y LISTADOS NECESARIOS PARA EL FUNCIONAMIENTO DE LA HOJA DE CÁLCULO</t>
  </si>
  <si>
    <t>RESIUDO ORGÁNICO</t>
  </si>
  <si>
    <t>GANADO</t>
  </si>
  <si>
    <t>Bovino</t>
  </si>
  <si>
    <t>Aves</t>
  </si>
  <si>
    <t>Ovino</t>
  </si>
  <si>
    <t>EMISIONES POR GESTIÓN EN GRANJA</t>
  </si>
  <si>
    <t>Porcino</t>
  </si>
  <si>
    <t>Masa húmeda</t>
  </si>
  <si>
    <t xml:space="preserve">Humedad </t>
  </si>
  <si>
    <t>En caso de que todo o parte del residuo orgánico consista en deyecciones ganaderas,indique la cantidad proveniente según tipo de ganado:</t>
  </si>
  <si>
    <t>Almacenaje</t>
  </si>
  <si>
    <t>Masa seca</t>
  </si>
  <si>
    <t>% (0-100)</t>
  </si>
  <si>
    <t>t/año m.s.</t>
  </si>
  <si>
    <t>m3 CH4/kg</t>
  </si>
  <si>
    <t>m3 CH4</t>
  </si>
  <si>
    <t>*
*</t>
  </si>
  <si>
    <t>**</t>
  </si>
  <si>
    <t>Almacenaje en granja</t>
  </si>
  <si>
    <t>kg NH3-N / kg N</t>
  </si>
  <si>
    <t>kg CH4</t>
  </si>
  <si>
    <t>FCM (factor conversión CH4)</t>
  </si>
  <si>
    <t>t CO2-eq</t>
  </si>
  <si>
    <t>t NH3-N</t>
  </si>
  <si>
    <t>DIAGRAMA DE FLUJO</t>
  </si>
  <si>
    <t>Escenario base</t>
  </si>
  <si>
    <t>Escenario de proyecto</t>
  </si>
  <si>
    <t xml:space="preserve">Instrucciones generales para la cumplimentación: </t>
  </si>
  <si>
    <t>Debe tenerse en cuenta, que:</t>
  </si>
  <si>
    <t>Celdas a cumplimentar para obtener emisiones.</t>
  </si>
  <si>
    <t xml:space="preserve">Celdas bloqueadas, que no es necesario cumplimentar. </t>
  </si>
  <si>
    <t>Debe cumplimentar todos los campos amarillos. En caso de no existir información debe introducir el valor cero en la correspondiente celda .</t>
  </si>
  <si>
    <r>
      <t xml:space="preserve">Se obtienen tres </t>
    </r>
    <r>
      <rPr>
        <b/>
        <sz val="10"/>
        <color rgb="FF0070C0"/>
        <rFont val="Arial"/>
        <family val="2"/>
      </rPr>
      <t>FRACCIONES</t>
    </r>
  </si>
  <si>
    <t>Habrá que especificar si esa energía se destina al autoconsumo en el propio Proceso, o bien, si su desino final es otro.</t>
  </si>
  <si>
    <r>
      <t xml:space="preserve">Debe entenderse como </t>
    </r>
    <r>
      <rPr>
        <b/>
        <sz val="10"/>
        <color rgb="FF0070C0"/>
        <rFont val="Arial"/>
        <family val="2"/>
      </rPr>
      <t>PROCESO</t>
    </r>
    <r>
      <rPr>
        <sz val="10"/>
        <rFont val="Arial"/>
        <family val="2"/>
      </rPr>
      <t xml:space="preserve"> la combinación de todos los tratamientos aplicados al residuo orgánico. A título de ejemplo, podemos indicar los siguientes tratamientos y su combinación: digestión anaerobia, compostaje, secado, tratamientos de nitrificación-desnitrificacón, separación o almacenaje.</t>
    </r>
  </si>
  <si>
    <t>Debe cumplimentar en primer lugar la hoja de escenario de proyecto. A continuación rellene las celdas color amarillo de la pestaña "Emisiones línea base (EB)".</t>
  </si>
  <si>
    <t>Encontrará más información sobre la cumplimetación en el documento de apoyo de esta metodología.</t>
  </si>
  <si>
    <t>En caso de no existir una separación de las fracciones sólida y líquida se cumplimetará únicamente la información en Fracción sólida</t>
  </si>
  <si>
    <r>
      <t>Se entenderá que se cumple con la sostenibilidad ambiental del proyecto cuando el análisis del ciclo de vida de éste, indique que l</t>
    </r>
    <r>
      <rPr>
        <b/>
        <sz val="11"/>
        <color rgb="FF0070C0"/>
        <rFont val="Calibri"/>
        <family val="2"/>
        <scheme val="minor"/>
      </rPr>
      <t>as emisiones son como mínimo un 60% inferiores a las del escenario base</t>
    </r>
    <r>
      <rPr>
        <sz val="11"/>
        <rFont val="Calibri"/>
        <family val="2"/>
        <scheme val="minor"/>
      </rPr>
      <t>. Este análisis lo proporciona la hoja de cálculo teniendo en cuenta el conjunto de emisiones, incluidas las derivadas de consumos energéticos y transporte.</t>
    </r>
  </si>
  <si>
    <r>
      <t xml:space="preserve">Biogas </t>
    </r>
    <r>
      <rPr>
        <sz val="10"/>
        <color rgb="FFFF0000"/>
        <rFont val="Arial"/>
        <family val="2"/>
      </rPr>
      <t>(t de CH4)</t>
    </r>
  </si>
  <si>
    <r>
      <t>Biogas (</t>
    </r>
    <r>
      <rPr>
        <sz val="10"/>
        <color rgb="FFFF0000"/>
        <rFont val="Arial"/>
        <family val="2"/>
      </rPr>
      <t>t de CH4)</t>
    </r>
  </si>
  <si>
    <t>CALCULADORA AUXILIAR PARA ESTIMACIÓN DE LAS EMISIONES DE COMPOSTAJE Y BIODIGESTIÓN</t>
  </si>
  <si>
    <t>COMPOSTAJE</t>
  </si>
  <si>
    <t>BIOMETANIZACIÓN</t>
  </si>
  <si>
    <t>g N2O/kg</t>
  </si>
  <si>
    <t xml:space="preserve">g CH4/kg </t>
  </si>
  <si>
    <t>Residuos a compostar (t en masa húmeda)</t>
  </si>
  <si>
    <t>Residuos a biodigestar (t en masa húmeda)</t>
  </si>
  <si>
    <t>Todo residuo al que se le aplica un compostaje o una biodigestión emite una determinada cantidad de metano y óxido nitroso. En el caso de la biodigestión esta cantidad es adicional al metano captado durante el proceso.</t>
  </si>
  <si>
    <t>Esta información es de carácter indicativo y su cumplimentación no influye en los cálculos.</t>
  </si>
  <si>
    <r>
      <t>De manera indicativa seleccione el proceso o procesos</t>
    </r>
    <r>
      <rPr>
        <b/>
        <sz val="10"/>
        <color rgb="FFC00000"/>
        <rFont val="Calibri"/>
        <family val="2"/>
        <scheme val="minor"/>
      </rPr>
      <t xml:space="preserve"> **</t>
    </r>
  </si>
  <si>
    <t>COMBUSTIBLES  - INSTALACIONES</t>
  </si>
  <si>
    <t>Este libro de cálculo está diseñado para estimar la reducción de emisiones de CO2 motivada por los Proyectos Clima de tratamiento de residuo orgánico con contenido rico en nitrógeno, como pueden ser deyecciones ganaderas (estiércoles o purines) u otros, generalmente asociados al sector agrario</t>
  </si>
  <si>
    <t>Dispone de una calculadora auxiliar para las emisiones de  biodigestión y/o compostaje</t>
  </si>
  <si>
    <t>kg N2O-N / kg N</t>
  </si>
  <si>
    <t>t N2O-N</t>
  </si>
  <si>
    <t>t N2O</t>
  </si>
  <si>
    <r>
      <t xml:space="preserve">CUMPLIMENTE </t>
    </r>
    <r>
      <rPr>
        <b/>
        <sz val="14"/>
        <color rgb="FFFF0000"/>
        <rFont val="Calibri"/>
        <family val="2"/>
        <scheme val="minor"/>
      </rPr>
      <t>PRIMERO LA HOJA DE ESCENARIO DE PROYECTO</t>
    </r>
    <r>
      <rPr>
        <b/>
        <sz val="11"/>
        <rFont val="Calibri"/>
        <family val="2"/>
        <scheme val="minor"/>
      </rPr>
      <t>. POSTERIORMENTE RELLENE LAS CELDAS DE COLOR AMARILLO DEL ESCENARIO LÍNEA BASE</t>
    </r>
  </si>
  <si>
    <t>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</si>
</sst>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
    <numFmt numFmtId="165" formatCode="0.000"/>
    <numFmt numFmtId="166" formatCode="0.0%"/>
    <numFmt numFmtId="167" formatCode="#,##0.0"/>
    <numFmt numFmtId="168" formatCode="#,##0.000"/>
    <numFmt numFmtId="169" formatCode="0.0000"/>
  </numFmts>
  <fonts count="47" x14ac:knownFonts="1">
    <font>
      <sz val="10"/>
      <name val="Arial"/>
    </font>
    <font>
      <sz val="11"/>
      <color theme="1"/>
      <name val="Calibri"/>
      <family val="2"/>
      <scheme val="minor"/>
    </font>
    <font>
      <sz val="11"/>
      <color theme="1"/>
      <name val="Calibri"/>
      <family val="2"/>
      <scheme val="minor"/>
    </font>
    <font>
      <sz val="11"/>
      <name val="Calibri"/>
      <family val="2"/>
    </font>
    <font>
      <sz val="8"/>
      <name val="Arial"/>
      <family val="2"/>
    </font>
    <font>
      <b/>
      <sz val="11"/>
      <name val="Calibri"/>
      <family val="2"/>
      <scheme val="minor"/>
    </font>
    <font>
      <sz val="11"/>
      <name val="Calibri"/>
      <family val="2"/>
      <scheme val="minor"/>
    </font>
    <font>
      <b/>
      <sz val="11"/>
      <color rgb="FF0070C0"/>
      <name val="Calibri"/>
      <family val="2"/>
      <scheme val="minor"/>
    </font>
    <font>
      <b/>
      <sz val="11"/>
      <color theme="0"/>
      <name val="Calibri"/>
      <family val="2"/>
      <scheme val="minor"/>
    </font>
    <font>
      <b/>
      <sz val="14"/>
      <color theme="0"/>
      <name val="Calibri"/>
      <family val="2"/>
      <scheme val="minor"/>
    </font>
    <font>
      <sz val="10"/>
      <name val="Arial"/>
      <family val="2"/>
    </font>
    <font>
      <sz val="9"/>
      <name val="Arial"/>
      <family val="2"/>
    </font>
    <font>
      <sz val="11"/>
      <color theme="0"/>
      <name val="Calibri"/>
      <family val="2"/>
      <scheme val="minor"/>
    </font>
    <font>
      <b/>
      <sz val="11"/>
      <color rgb="FFFF0000"/>
      <name val="Calibri"/>
      <family val="2"/>
      <scheme val="minor"/>
    </font>
    <font>
      <b/>
      <sz val="10"/>
      <color theme="1" tint="0.34998626667073579"/>
      <name val="Calibri"/>
      <family val="2"/>
      <scheme val="minor"/>
    </font>
    <font>
      <b/>
      <sz val="10"/>
      <color theme="0" tint="-0.14999847407452621"/>
      <name val="Calibri"/>
      <family val="2"/>
      <scheme val="minor"/>
    </font>
    <font>
      <sz val="16"/>
      <color rgb="FFC00000"/>
      <name val="Calibri"/>
      <family val="2"/>
      <scheme val="minor"/>
    </font>
    <font>
      <sz val="18"/>
      <color rgb="FFC00000"/>
      <name val="Calibri"/>
      <family val="2"/>
      <scheme val="minor"/>
    </font>
    <font>
      <sz val="11"/>
      <color rgb="FFFF0000"/>
      <name val="Calibri"/>
      <family val="2"/>
      <scheme val="minor"/>
    </font>
    <font>
      <b/>
      <sz val="11"/>
      <color theme="1"/>
      <name val="Calibri"/>
      <family val="2"/>
      <scheme val="minor"/>
    </font>
    <font>
      <b/>
      <sz val="11"/>
      <color theme="1" tint="0.249977111117893"/>
      <name val="Calibri"/>
      <family val="2"/>
      <scheme val="minor"/>
    </font>
    <font>
      <sz val="11"/>
      <color theme="1" tint="0.249977111117893"/>
      <name val="Calibri"/>
      <family val="2"/>
      <scheme val="minor"/>
    </font>
    <font>
      <b/>
      <sz val="14"/>
      <color theme="3" tint="0.39997558519241921"/>
      <name val="Calibri"/>
      <family val="2"/>
      <scheme val="minor"/>
    </font>
    <font>
      <b/>
      <sz val="11"/>
      <color indexed="12"/>
      <name val="Calibri"/>
      <family val="2"/>
      <scheme val="minor"/>
    </font>
    <font>
      <b/>
      <sz val="12"/>
      <color theme="3" tint="0.39997558519241921"/>
      <name val="Calibri"/>
      <family val="2"/>
      <scheme val="minor"/>
    </font>
    <font>
      <b/>
      <sz val="11"/>
      <name val="Calibri"/>
      <family val="2"/>
    </font>
    <font>
      <b/>
      <sz val="18"/>
      <color indexed="9"/>
      <name val="Calibri"/>
      <family val="2"/>
    </font>
    <font>
      <b/>
      <sz val="11"/>
      <color theme="0"/>
      <name val="Calibri"/>
      <family val="2"/>
    </font>
    <font>
      <b/>
      <sz val="12"/>
      <name val="Calibri"/>
      <family val="2"/>
    </font>
    <font>
      <b/>
      <vertAlign val="subscript"/>
      <sz val="11"/>
      <name val="Calibri"/>
      <family val="2"/>
      <scheme val="minor"/>
    </font>
    <font>
      <b/>
      <sz val="16"/>
      <color indexed="9"/>
      <name val="Calibri"/>
      <family val="2"/>
      <scheme val="minor"/>
    </font>
    <font>
      <b/>
      <sz val="18"/>
      <color indexed="12"/>
      <name val="Calibri"/>
      <family val="2"/>
      <scheme val="minor"/>
    </font>
    <font>
      <b/>
      <sz val="16"/>
      <color indexed="12"/>
      <name val="Calibri"/>
      <family val="2"/>
      <scheme val="minor"/>
    </font>
    <font>
      <b/>
      <sz val="12"/>
      <name val="Calibri"/>
      <family val="2"/>
      <scheme val="minor"/>
    </font>
    <font>
      <b/>
      <sz val="16"/>
      <name val="Calibri"/>
      <family val="2"/>
      <scheme val="minor"/>
    </font>
    <font>
      <b/>
      <sz val="20"/>
      <color theme="3" tint="0.39997558519241921"/>
      <name val="Calibri"/>
      <family val="2"/>
      <scheme val="minor"/>
    </font>
    <font>
      <b/>
      <u/>
      <sz val="14"/>
      <color theme="3" tint="0.39997558519241921"/>
      <name val="Calibri"/>
      <family val="2"/>
      <scheme val="minor"/>
    </font>
    <font>
      <sz val="11"/>
      <name val="Arial"/>
      <family val="2"/>
    </font>
    <font>
      <sz val="11"/>
      <color indexed="8"/>
      <name val="Arial"/>
      <family val="2"/>
    </font>
    <font>
      <b/>
      <sz val="10"/>
      <color rgb="FF0070C0"/>
      <name val="Arial"/>
      <family val="2"/>
    </font>
    <font>
      <sz val="10"/>
      <color rgb="FFFF0000"/>
      <name val="Arial"/>
      <family val="2"/>
    </font>
    <font>
      <b/>
      <sz val="10"/>
      <color rgb="FFC00000"/>
      <name val="Calibri"/>
      <family val="2"/>
      <scheme val="minor"/>
    </font>
    <font>
      <b/>
      <sz val="9"/>
      <color theme="1" tint="0.34998626667073579"/>
      <name val="Calibri"/>
      <family val="2"/>
      <scheme val="minor"/>
    </font>
    <font>
      <b/>
      <sz val="14"/>
      <color rgb="FFFF0000"/>
      <name val="Calibri"/>
      <family val="2"/>
      <scheme val="minor"/>
    </font>
    <font>
      <sz val="9"/>
      <color indexed="81"/>
      <name val="Tahoma"/>
      <family val="2"/>
    </font>
    <font>
      <b/>
      <sz val="9"/>
      <color indexed="81"/>
      <name val="Tahoma"/>
      <family val="2"/>
    </font>
    <font>
      <b/>
      <sz val="11"/>
      <color theme="4"/>
      <name val="Arial"/>
      <family val="2"/>
    </font>
  </fonts>
  <fills count="32">
    <fill>
      <patternFill patternType="none"/>
    </fill>
    <fill>
      <patternFill patternType="gray125"/>
    </fill>
    <fill>
      <patternFill patternType="solid">
        <fgColor indexed="65"/>
        <bgColor theme="0"/>
      </patternFill>
    </fill>
    <fill>
      <patternFill patternType="solid">
        <fgColor indexed="41"/>
        <bgColor theme="0"/>
      </patternFill>
    </fill>
    <fill>
      <patternFill patternType="solid">
        <fgColor theme="0"/>
        <bgColor theme="0"/>
      </patternFill>
    </fill>
    <fill>
      <patternFill patternType="solid">
        <fgColor theme="0" tint="-0.14996795556505021"/>
        <bgColor theme="0"/>
      </patternFill>
    </fill>
    <fill>
      <patternFill patternType="solid">
        <fgColor theme="8" tint="-0.499984740745262"/>
        <bgColor theme="0"/>
      </patternFill>
    </fill>
    <fill>
      <patternFill patternType="solid">
        <fgColor theme="4" tint="0.39997558519241921"/>
        <bgColor theme="0"/>
      </patternFill>
    </fill>
    <fill>
      <patternFill patternType="solid">
        <fgColor theme="8" tint="-0.249977111117893"/>
        <bgColor theme="0"/>
      </patternFill>
    </fill>
    <fill>
      <patternFill patternType="solid">
        <fgColor rgb="FFFFFF00"/>
        <bgColor theme="0"/>
      </patternFill>
    </fill>
    <fill>
      <patternFill patternType="solid">
        <fgColor indexed="22"/>
        <bgColor theme="0"/>
      </patternFill>
    </fill>
    <fill>
      <patternFill patternType="solid">
        <fgColor indexed="17"/>
        <bgColor theme="0"/>
      </patternFill>
    </fill>
    <fill>
      <patternFill patternType="solid">
        <fgColor theme="4" tint="0.79998168889431442"/>
        <bgColor theme="0"/>
      </patternFill>
    </fill>
    <fill>
      <patternFill patternType="solid">
        <fgColor indexed="65"/>
        <bgColor theme="8" tint="-0.24994659260841701"/>
      </patternFill>
    </fill>
    <fill>
      <patternFill patternType="solid">
        <fgColor theme="4" tint="0.39997558519241921"/>
        <bgColor theme="8" tint="-0.24994659260841701"/>
      </patternFill>
    </fill>
    <fill>
      <patternFill patternType="solid">
        <fgColor rgb="FFFFFF00"/>
        <bgColor theme="8" tint="-0.24994659260841701"/>
      </patternFill>
    </fill>
    <fill>
      <patternFill patternType="solid">
        <fgColor indexed="13"/>
        <bgColor theme="8" tint="-0.24994659260841701"/>
      </patternFill>
    </fill>
    <fill>
      <patternFill patternType="solid">
        <fgColor theme="0"/>
        <bgColor theme="8" tint="-0.24994659260841701"/>
      </patternFill>
    </fill>
    <fill>
      <patternFill patternType="solid">
        <fgColor theme="9"/>
        <bgColor theme="0"/>
      </patternFill>
    </fill>
    <fill>
      <patternFill patternType="solid">
        <fgColor theme="0"/>
        <bgColor indexed="64"/>
      </patternFill>
    </fill>
    <fill>
      <patternFill patternType="solid">
        <fgColor theme="0" tint="-0.14999847407452621"/>
        <bgColor theme="8" tint="-0.24994659260841701"/>
      </patternFill>
    </fill>
    <fill>
      <patternFill patternType="solid">
        <fgColor theme="0"/>
        <bgColor theme="3" tint="0.79998168889431442"/>
      </patternFill>
    </fill>
    <fill>
      <patternFill patternType="solid">
        <fgColor theme="0" tint="-0.14999847407452621"/>
        <bgColor theme="0"/>
      </patternFill>
    </fill>
    <fill>
      <patternFill patternType="solid">
        <fgColor theme="3" tint="0.39994506668294322"/>
        <bgColor theme="0"/>
      </patternFill>
    </fill>
    <fill>
      <patternFill patternType="solid">
        <fgColor theme="8" tint="-0.499984740745262"/>
        <bgColor indexed="64"/>
      </patternFill>
    </fill>
    <fill>
      <patternFill patternType="solid">
        <fgColor theme="4" tint="0.39997558519241921"/>
        <bgColor indexed="64"/>
      </patternFill>
    </fill>
    <fill>
      <patternFill patternType="solid">
        <fgColor indexed="65"/>
        <bgColor theme="3" tint="0.79998168889431442"/>
      </patternFill>
    </fill>
    <fill>
      <patternFill patternType="solid">
        <fgColor theme="8" tint="-0.499984740745262"/>
        <bgColor theme="3" tint="0.79998168889431442"/>
      </patternFill>
    </fill>
    <fill>
      <patternFill patternType="solid">
        <fgColor theme="4" tint="0.79998168889431442"/>
        <bgColor theme="3" tint="0.79998168889431442"/>
      </patternFill>
    </fill>
    <fill>
      <patternFill patternType="solid">
        <fgColor theme="4" tint="0.79998168889431442"/>
        <bgColor indexed="64"/>
      </patternFill>
    </fill>
    <fill>
      <patternFill patternType="solid">
        <fgColor theme="6" tint="0.39997558519241921"/>
        <bgColor theme="0"/>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double">
        <color theme="0"/>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top style="double">
        <color theme="0"/>
      </top>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diagonal/>
    </border>
    <border>
      <left/>
      <right style="thick">
        <color theme="8" tint="-0.24994659260841701"/>
      </right>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
      <left/>
      <right/>
      <top style="thin">
        <color theme="0"/>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ck">
        <color theme="8" tint="-0.24994659260841701"/>
      </left>
      <right style="thin">
        <color theme="0" tint="-0.499984740745262"/>
      </right>
      <top/>
      <bottom/>
      <diagonal/>
    </border>
    <border>
      <left style="thick">
        <color theme="9"/>
      </left>
      <right style="thin">
        <color theme="0" tint="-0.499984740745262"/>
      </right>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ck">
        <color theme="8" tint="-0.24994659260841701"/>
      </right>
      <top style="thin">
        <color theme="0" tint="-0.499984740745262"/>
      </top>
      <bottom style="thick">
        <color theme="8" tint="-0.24994659260841701"/>
      </bottom>
      <diagonal/>
    </border>
    <border>
      <left/>
      <right style="thick">
        <color theme="8" tint="-0.24994659260841701"/>
      </right>
      <top/>
      <bottom style="thin">
        <color theme="0" tint="-0.499984740745262"/>
      </bottom>
      <diagonal/>
    </border>
    <border>
      <left style="thin">
        <color theme="0" tint="-0.499984740745262"/>
      </left>
      <right style="thick">
        <color theme="8" tint="-0.24994659260841701"/>
      </right>
      <top style="thin">
        <color theme="0" tint="-0.499984740745262"/>
      </top>
      <bottom style="thin">
        <color theme="0" tint="-0.499984740745262"/>
      </bottom>
      <diagonal/>
    </border>
    <border>
      <left/>
      <right/>
      <top style="thin">
        <color theme="0" tint="-0.499984740745262"/>
      </top>
      <bottom style="thick">
        <color theme="9"/>
      </bottom>
      <diagonal/>
    </border>
    <border>
      <left/>
      <right/>
      <top/>
      <bottom style="thin">
        <color theme="0" tint="-0.499984740745262"/>
      </bottom>
      <diagonal/>
    </border>
    <border>
      <left/>
      <right/>
      <top/>
      <bottom style="dashed">
        <color theme="4" tint="-0.24994659260841701"/>
      </bottom>
      <diagonal/>
    </border>
    <border>
      <left/>
      <right/>
      <top style="dashed">
        <color theme="4" tint="-0.24994659260841701"/>
      </top>
      <bottom style="dashed">
        <color theme="4" tint="-0.24994659260841701"/>
      </bottom>
      <diagonal/>
    </border>
    <border>
      <left/>
      <right/>
      <top style="dashed">
        <color theme="4" tint="-0.24994659260841701"/>
      </top>
      <bottom/>
      <diagonal/>
    </border>
    <border>
      <left style="thin">
        <color theme="4" tint="-0.24994659260841701"/>
      </left>
      <right/>
      <top/>
      <bottom style="dashed">
        <color theme="4" tint="-0.24994659260841701"/>
      </bottom>
      <diagonal/>
    </border>
    <border>
      <left/>
      <right style="thin">
        <color theme="4" tint="-0.24994659260841701"/>
      </right>
      <top/>
      <bottom style="dashed">
        <color theme="4" tint="-0.24994659260841701"/>
      </bottom>
      <diagonal/>
    </border>
    <border>
      <left style="thin">
        <color theme="4" tint="-0.24994659260841701"/>
      </left>
      <right/>
      <top style="dashed">
        <color theme="4" tint="-0.24994659260841701"/>
      </top>
      <bottom style="dashed">
        <color theme="4" tint="-0.24994659260841701"/>
      </bottom>
      <diagonal/>
    </border>
    <border>
      <left/>
      <right style="thin">
        <color theme="4" tint="-0.24994659260841701"/>
      </right>
      <top style="dashed">
        <color theme="4" tint="-0.24994659260841701"/>
      </top>
      <bottom style="dashed">
        <color theme="4" tint="-0.24994659260841701"/>
      </bottom>
      <diagonal/>
    </border>
    <border>
      <left style="thin">
        <color theme="4" tint="-0.24994659260841701"/>
      </left>
      <right/>
      <top style="dashed">
        <color theme="4" tint="-0.24994659260841701"/>
      </top>
      <bottom/>
      <diagonal/>
    </border>
    <border>
      <left/>
      <right style="thin">
        <color theme="4" tint="-0.24994659260841701"/>
      </right>
      <top style="dashed">
        <color theme="4" tint="-0.24994659260841701"/>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9" fontId="10" fillId="0" borderId="0" applyFont="0" applyFill="0" applyBorder="0" applyAlignment="0" applyProtection="0"/>
    <xf numFmtId="0" fontId="10" fillId="0" borderId="0"/>
  </cellStyleXfs>
  <cellXfs count="347">
    <xf numFmtId="0" fontId="0" fillId="0" borderId="0" xfId="0"/>
    <xf numFmtId="0" fontId="6" fillId="2" borderId="1" xfId="0" applyFont="1" applyFill="1" applyBorder="1"/>
    <xf numFmtId="0" fontId="6" fillId="2" borderId="0" xfId="0" applyFont="1" applyFill="1" applyAlignment="1">
      <alignment horizontal="center" vertical="center" wrapText="1"/>
    </xf>
    <xf numFmtId="0" fontId="6" fillId="2" borderId="0" xfId="0" applyFont="1" applyFill="1"/>
    <xf numFmtId="0" fontId="5" fillId="2" borderId="0" xfId="0" applyFont="1" applyFill="1"/>
    <xf numFmtId="0" fontId="7" fillId="2" borderId="0" xfId="0" applyFont="1" applyFill="1" applyBorder="1"/>
    <xf numFmtId="3" fontId="6" fillId="2" borderId="1" xfId="0" applyNumberFormat="1" applyFont="1" applyFill="1" applyBorder="1"/>
    <xf numFmtId="0" fontId="6" fillId="2" borderId="0" xfId="0" applyFont="1" applyFill="1" applyBorder="1"/>
    <xf numFmtId="0" fontId="10" fillId="2" borderId="0" xfId="0" applyFont="1" applyFill="1" applyBorder="1"/>
    <xf numFmtId="0" fontId="11" fillId="2" borderId="0" xfId="0" applyFont="1" applyFill="1" applyBorder="1" applyAlignment="1">
      <alignment horizontal="center"/>
    </xf>
    <xf numFmtId="3" fontId="11" fillId="2" borderId="0" xfId="0" applyNumberFormat="1" applyFont="1" applyFill="1" applyBorder="1" applyAlignment="1">
      <alignment horizontal="center"/>
    </xf>
    <xf numFmtId="4" fontId="11" fillId="2" borderId="0" xfId="0" applyNumberFormat="1" applyFont="1" applyFill="1" applyBorder="1" applyAlignment="1">
      <alignment horizontal="center"/>
    </xf>
    <xf numFmtId="0" fontId="3" fillId="2" borderId="0" xfId="0" applyFont="1" applyFill="1" applyAlignment="1">
      <alignment vertical="center" wrapText="1"/>
    </xf>
    <xf numFmtId="4" fontId="6" fillId="2" borderId="1" xfId="0" applyNumberFormat="1" applyFont="1" applyFill="1" applyBorder="1"/>
    <xf numFmtId="0" fontId="6" fillId="13" borderId="4" xfId="0" applyFont="1" applyFill="1" applyBorder="1"/>
    <xf numFmtId="0" fontId="5" fillId="14" borderId="6" xfId="0" applyFont="1" applyFill="1" applyBorder="1" applyAlignment="1">
      <alignment horizontal="center" vertical="center" wrapText="1"/>
    </xf>
    <xf numFmtId="0" fontId="6" fillId="13" borderId="0" xfId="0" applyFont="1" applyFill="1" applyBorder="1"/>
    <xf numFmtId="0" fontId="6" fillId="13" borderId="9" xfId="0" applyFont="1" applyFill="1" applyBorder="1"/>
    <xf numFmtId="0" fontId="6" fillId="13" borderId="10" xfId="0" applyFont="1" applyFill="1" applyBorder="1"/>
    <xf numFmtId="0" fontId="6" fillId="13" borderId="11" xfId="0" applyFont="1" applyFill="1" applyBorder="1"/>
    <xf numFmtId="0" fontId="6" fillId="13" borderId="12" xfId="0" applyFont="1" applyFill="1" applyBorder="1"/>
    <xf numFmtId="0" fontId="6" fillId="13" borderId="13" xfId="0" applyFont="1" applyFill="1" applyBorder="1"/>
    <xf numFmtId="0" fontId="6" fillId="13" borderId="14" xfId="0" applyFont="1" applyFill="1" applyBorder="1"/>
    <xf numFmtId="0" fontId="6" fillId="13" borderId="15" xfId="0" applyFont="1" applyFill="1" applyBorder="1"/>
    <xf numFmtId="0" fontId="6" fillId="13" borderId="16" xfId="0" applyFont="1" applyFill="1" applyBorder="1"/>
    <xf numFmtId="0" fontId="6" fillId="2" borderId="6" xfId="0" applyFont="1" applyFill="1" applyBorder="1"/>
    <xf numFmtId="0" fontId="6" fillId="2" borderId="21" xfId="0" applyFont="1" applyFill="1" applyBorder="1"/>
    <xf numFmtId="0" fontId="6" fillId="2" borderId="22" xfId="0" applyFont="1" applyFill="1" applyBorder="1"/>
    <xf numFmtId="0" fontId="6" fillId="2" borderId="23" xfId="0" applyFont="1" applyFill="1" applyBorder="1"/>
    <xf numFmtId="0" fontId="6" fillId="2" borderId="24" xfId="0" applyFont="1" applyFill="1" applyBorder="1"/>
    <xf numFmtId="0" fontId="6" fillId="2" borderId="25" xfId="0" applyFont="1" applyFill="1" applyBorder="1"/>
    <xf numFmtId="0" fontId="6" fillId="2" borderId="26" xfId="0" applyFont="1" applyFill="1" applyBorder="1"/>
    <xf numFmtId="0" fontId="6" fillId="2" borderId="27" xfId="0" applyFont="1" applyFill="1" applyBorder="1"/>
    <xf numFmtId="0" fontId="6" fillId="2" borderId="28" xfId="0" applyFont="1" applyFill="1" applyBorder="1"/>
    <xf numFmtId="0" fontId="16" fillId="2" borderId="0" xfId="0" applyFont="1" applyFill="1" applyAlignment="1">
      <alignment horizontal="right" vertical="center"/>
    </xf>
    <xf numFmtId="0" fontId="15" fillId="4" borderId="0" xfId="0" applyFont="1" applyFill="1" applyBorder="1" applyAlignment="1">
      <alignment vertical="center" wrapText="1"/>
    </xf>
    <xf numFmtId="0" fontId="14" fillId="4" borderId="0" xfId="0" applyFont="1" applyFill="1" applyBorder="1" applyAlignment="1">
      <alignment vertical="center"/>
    </xf>
    <xf numFmtId="0" fontId="13" fillId="13" borderId="0" xfId="0" applyFont="1" applyFill="1" applyBorder="1"/>
    <xf numFmtId="0" fontId="6" fillId="2" borderId="0" xfId="0" applyFont="1" applyFill="1" applyBorder="1" applyAlignment="1">
      <alignment horizontal="center"/>
    </xf>
    <xf numFmtId="0" fontId="20" fillId="20" borderId="6" xfId="0" applyFont="1" applyFill="1" applyBorder="1" applyAlignment="1">
      <alignment horizontal="center" vertical="center" wrapText="1"/>
    </xf>
    <xf numFmtId="0" fontId="21" fillId="17" borderId="6" xfId="0" applyFont="1" applyFill="1" applyBorder="1"/>
    <xf numFmtId="2" fontId="21" fillId="17" borderId="6" xfId="0" applyNumberFormat="1" applyFont="1" applyFill="1" applyBorder="1" applyAlignment="1">
      <alignment horizontal="center"/>
    </xf>
    <xf numFmtId="0" fontId="21" fillId="17" borderId="18" xfId="0" applyFont="1" applyFill="1" applyBorder="1"/>
    <xf numFmtId="165" fontId="6" fillId="2" borderId="6" xfId="0" applyNumberFormat="1" applyFont="1" applyFill="1" applyBorder="1"/>
    <xf numFmtId="0" fontId="5" fillId="14" borderId="6" xfId="0" applyFont="1" applyFill="1" applyBorder="1" applyAlignment="1">
      <alignment vertical="center" wrapText="1"/>
    </xf>
    <xf numFmtId="0" fontId="20" fillId="20" borderId="6" xfId="0" applyFont="1" applyFill="1" applyBorder="1" applyAlignment="1">
      <alignment vertical="center" wrapText="1"/>
    </xf>
    <xf numFmtId="3" fontId="6" fillId="2" borderId="0" xfId="0" applyNumberFormat="1" applyFont="1" applyFill="1" applyBorder="1" applyAlignment="1">
      <alignment horizontal="center"/>
    </xf>
    <xf numFmtId="0" fontId="6" fillId="4" borderId="6" xfId="0" applyFont="1" applyFill="1" applyBorder="1"/>
    <xf numFmtId="0" fontId="21" fillId="2" borderId="6" xfId="0" applyFont="1" applyFill="1" applyBorder="1"/>
    <xf numFmtId="0" fontId="20" fillId="20" borderId="18" xfId="0" applyFont="1" applyFill="1" applyBorder="1" applyAlignment="1">
      <alignment horizontal="center" vertical="center" wrapText="1"/>
    </xf>
    <xf numFmtId="2" fontId="21" fillId="17" borderId="18" xfId="0" applyNumberFormat="1" applyFont="1" applyFill="1" applyBorder="1" applyAlignment="1">
      <alignment horizontal="center"/>
    </xf>
    <xf numFmtId="168" fontId="6" fillId="2" borderId="15" xfId="0" applyNumberFormat="1" applyFont="1" applyFill="1" applyBorder="1"/>
    <xf numFmtId="0" fontId="6" fillId="2" borderId="37" xfId="0" applyFont="1" applyFill="1" applyBorder="1"/>
    <xf numFmtId="0" fontId="6" fillId="2" borderId="13" xfId="0" applyFont="1" applyFill="1" applyBorder="1"/>
    <xf numFmtId="0" fontId="6" fillId="2" borderId="11" xfId="0" applyFont="1" applyFill="1" applyBorder="1"/>
    <xf numFmtId="0" fontId="6" fillId="2" borderId="40" xfId="0" applyFont="1" applyFill="1" applyBorder="1"/>
    <xf numFmtId="0" fontId="6" fillId="2" borderId="5" xfId="0" applyFont="1" applyFill="1" applyBorder="1"/>
    <xf numFmtId="0" fontId="6" fillId="2" borderId="19" xfId="0" applyFont="1" applyFill="1" applyBorder="1"/>
    <xf numFmtId="0" fontId="9" fillId="23" borderId="0" xfId="0" applyFont="1" applyFill="1"/>
    <xf numFmtId="0" fontId="12" fillId="23" borderId="0" xfId="0" applyFont="1" applyFill="1"/>
    <xf numFmtId="0" fontId="6" fillId="23" borderId="0" xfId="0" applyFont="1" applyFill="1"/>
    <xf numFmtId="0" fontId="22" fillId="2" borderId="0" xfId="0" applyFont="1" applyFill="1"/>
    <xf numFmtId="0" fontId="18" fillId="2" borderId="0" xfId="0" applyFont="1" applyFill="1" applyBorder="1"/>
    <xf numFmtId="2" fontId="6" fillId="2" borderId="6" xfId="0" applyNumberFormat="1" applyFont="1" applyFill="1" applyBorder="1"/>
    <xf numFmtId="164" fontId="6" fillId="2" borderId="6" xfId="0" applyNumberFormat="1" applyFont="1" applyFill="1" applyBorder="1"/>
    <xf numFmtId="3" fontId="6" fillId="2" borderId="6" xfId="0" applyNumberFormat="1" applyFont="1" applyFill="1" applyBorder="1"/>
    <xf numFmtId="0" fontId="6" fillId="2" borderId="6" xfId="0" applyFont="1" applyFill="1" applyBorder="1" applyAlignment="1">
      <alignment horizontal="center"/>
    </xf>
    <xf numFmtId="0" fontId="6" fillId="12" borderId="6" xfId="0" applyFont="1" applyFill="1" applyBorder="1" applyAlignment="1">
      <alignment horizontal="center"/>
    </xf>
    <xf numFmtId="4" fontId="6" fillId="12" borderId="6" xfId="0" applyNumberFormat="1" applyFont="1" applyFill="1" applyBorder="1" applyAlignment="1">
      <alignment horizontal="center"/>
    </xf>
    <xf numFmtId="9" fontId="6" fillId="4" borderId="6" xfId="0" applyNumberFormat="1" applyFont="1" applyFill="1" applyBorder="1" applyAlignment="1">
      <alignment horizontal="center"/>
    </xf>
    <xf numFmtId="3" fontId="6" fillId="4" borderId="6" xfId="0" applyNumberFormat="1" applyFont="1" applyFill="1" applyBorder="1" applyAlignment="1">
      <alignment horizontal="center" vertical="center"/>
    </xf>
    <xf numFmtId="3" fontId="6" fillId="2" borderId="6" xfId="0" applyNumberFormat="1" applyFont="1" applyFill="1" applyBorder="1" applyAlignment="1">
      <alignment horizontal="center" vertical="center"/>
    </xf>
    <xf numFmtId="4" fontId="6" fillId="0" borderId="6" xfId="0" applyNumberFormat="1" applyFont="1" applyFill="1" applyBorder="1" applyAlignment="1">
      <alignment horizontal="center" vertical="center"/>
    </xf>
    <xf numFmtId="4" fontId="6" fillId="2" borderId="0" xfId="0" applyNumberFormat="1" applyFont="1" applyFill="1" applyBorder="1" applyAlignment="1">
      <alignment horizontal="center"/>
    </xf>
    <xf numFmtId="0" fontId="23" fillId="2" borderId="0" xfId="0" applyFont="1" applyFill="1" applyBorder="1"/>
    <xf numFmtId="4" fontId="6" fillId="19" borderId="6" xfId="0" applyNumberFormat="1" applyFont="1" applyFill="1" applyBorder="1" applyAlignment="1">
      <alignment horizontal="center"/>
    </xf>
    <xf numFmtId="3" fontId="6" fillId="4" borderId="6" xfId="0" applyNumberFormat="1" applyFont="1" applyFill="1" applyBorder="1" applyAlignment="1">
      <alignment horizontal="center"/>
    </xf>
    <xf numFmtId="166" fontId="6" fillId="4" borderId="6" xfId="0" applyNumberFormat="1" applyFont="1" applyFill="1" applyBorder="1" applyAlignment="1">
      <alignment horizontal="center"/>
    </xf>
    <xf numFmtId="4" fontId="6" fillId="2" borderId="6" xfId="0" applyNumberFormat="1" applyFont="1" applyFill="1" applyBorder="1" applyAlignment="1">
      <alignment horizontal="center"/>
    </xf>
    <xf numFmtId="3" fontId="6" fillId="2" borderId="6" xfId="0" applyNumberFormat="1" applyFont="1" applyFill="1" applyBorder="1" applyAlignment="1">
      <alignment horizontal="center"/>
    </xf>
    <xf numFmtId="4" fontId="6" fillId="4" borderId="6" xfId="0" applyNumberFormat="1" applyFont="1" applyFill="1" applyBorder="1" applyAlignment="1">
      <alignment horizontal="center"/>
    </xf>
    <xf numFmtId="4" fontId="5" fillId="10" borderId="35" xfId="0" applyNumberFormat="1" applyFont="1" applyFill="1" applyBorder="1" applyAlignment="1">
      <alignment horizontal="center"/>
    </xf>
    <xf numFmtId="0" fontId="24" fillId="2" borderId="0" xfId="0" applyFont="1" applyFill="1"/>
    <xf numFmtId="2" fontId="6" fillId="4" borderId="6" xfId="0" applyNumberFormat="1" applyFont="1" applyFill="1" applyBorder="1"/>
    <xf numFmtId="4" fontId="26" fillId="24" borderId="6" xfId="0" applyNumberFormat="1" applyFont="1" applyFill="1" applyBorder="1" applyAlignment="1">
      <alignment horizontal="right" vertical="center" wrapText="1"/>
    </xf>
    <xf numFmtId="0" fontId="8" fillId="27" borderId="6" xfId="0" applyFont="1" applyFill="1" applyBorder="1"/>
    <xf numFmtId="0" fontId="27" fillId="27" borderId="6" xfId="0" applyFont="1" applyFill="1" applyBorder="1" applyAlignment="1">
      <alignment horizontal="left" vertical="center" wrapText="1"/>
    </xf>
    <xf numFmtId="0" fontId="6" fillId="28" borderId="0" xfId="0" applyFont="1" applyFill="1"/>
    <xf numFmtId="0" fontId="6" fillId="28" borderId="0" xfId="0" applyFont="1" applyFill="1" applyBorder="1"/>
    <xf numFmtId="2" fontId="6" fillId="2" borderId="6" xfId="0" applyNumberFormat="1" applyFont="1" applyFill="1" applyBorder="1" applyAlignment="1"/>
    <xf numFmtId="164" fontId="6" fillId="2" borderId="6" xfId="0" applyNumberFormat="1" applyFont="1" applyFill="1" applyBorder="1" applyAlignment="1"/>
    <xf numFmtId="0" fontId="5" fillId="12" borderId="6"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6" xfId="0" applyFont="1" applyFill="1" applyBorder="1" applyAlignment="1">
      <alignment vertical="center" wrapText="1"/>
    </xf>
    <xf numFmtId="0" fontId="5" fillId="12" borderId="6" xfId="0" applyFont="1" applyFill="1" applyBorder="1" applyAlignment="1">
      <alignment horizontal="center"/>
    </xf>
    <xf numFmtId="165" fontId="10" fillId="0" borderId="6" xfId="0" applyNumberFormat="1" applyFont="1" applyFill="1" applyBorder="1" applyAlignment="1" applyProtection="1">
      <alignment horizontal="left" vertical="center"/>
    </xf>
    <xf numFmtId="168" fontId="10" fillId="0" borderId="6" xfId="0" applyNumberFormat="1" applyFont="1" applyFill="1" applyBorder="1" applyAlignment="1" applyProtection="1">
      <alignment horizontal="center"/>
    </xf>
    <xf numFmtId="0" fontId="5" fillId="2" borderId="6" xfId="0" applyFont="1" applyFill="1" applyBorder="1" applyAlignment="1">
      <alignment horizontal="right"/>
    </xf>
    <xf numFmtId="0" fontId="5" fillId="29" borderId="6" xfId="0" applyFont="1" applyFill="1" applyBorder="1" applyAlignment="1" applyProtection="1">
      <alignment horizontal="center" vertical="center" wrapText="1"/>
    </xf>
    <xf numFmtId="3" fontId="2" fillId="0" borderId="6" xfId="0" applyNumberFormat="1" applyFont="1" applyFill="1" applyBorder="1"/>
    <xf numFmtId="168" fontId="2" fillId="0" borderId="6" xfId="0" applyNumberFormat="1" applyFont="1" applyFill="1" applyBorder="1"/>
    <xf numFmtId="3" fontId="19" fillId="0" borderId="35" xfId="0" applyNumberFormat="1" applyFont="1" applyFill="1" applyBorder="1" applyAlignment="1">
      <alignment horizontal="right"/>
    </xf>
    <xf numFmtId="2" fontId="6" fillId="12" borderId="6" xfId="0" applyNumberFormat="1" applyFont="1" applyFill="1" applyBorder="1"/>
    <xf numFmtId="4" fontId="6" fillId="5" borderId="6" xfId="0" applyNumberFormat="1" applyFont="1" applyFill="1" applyBorder="1"/>
    <xf numFmtId="3" fontId="1" fillId="0" borderId="6" xfId="0" applyNumberFormat="1" applyFont="1" applyFill="1" applyBorder="1"/>
    <xf numFmtId="0" fontId="6" fillId="2" borderId="0" xfId="0" applyFont="1" applyFill="1" applyAlignment="1">
      <alignment vertical="center" wrapText="1"/>
    </xf>
    <xf numFmtId="0" fontId="31" fillId="2" borderId="0" xfId="0" applyFont="1" applyFill="1"/>
    <xf numFmtId="0" fontId="32" fillId="2" borderId="0" xfId="0" applyFont="1" applyFill="1" applyAlignment="1">
      <alignment vertical="center"/>
    </xf>
    <xf numFmtId="0" fontId="5" fillId="12" borderId="6" xfId="0" applyFont="1" applyFill="1" applyBorder="1" applyAlignment="1">
      <alignment horizontal="center" vertical="center" wrapText="1"/>
    </xf>
    <xf numFmtId="4" fontId="6" fillId="28" borderId="0" xfId="0" applyNumberFormat="1" applyFont="1" applyFill="1"/>
    <xf numFmtId="0" fontId="5" fillId="14" borderId="6" xfId="0" applyFont="1" applyFill="1" applyBorder="1" applyAlignment="1">
      <alignment horizontal="center" vertical="center" wrapText="1"/>
    </xf>
    <xf numFmtId="0" fontId="5" fillId="17" borderId="0" xfId="0" applyFont="1" applyFill="1" applyBorder="1" applyAlignment="1">
      <alignment vertical="center" wrapText="1"/>
    </xf>
    <xf numFmtId="0" fontId="0" fillId="0" borderId="41" xfId="0" applyBorder="1" applyAlignment="1"/>
    <xf numFmtId="0" fontId="6" fillId="7" borderId="19"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5" fillId="14" borderId="6" xfId="0" applyFont="1" applyFill="1" applyBorder="1" applyAlignment="1">
      <alignment horizontal="center" vertical="center" wrapText="1"/>
    </xf>
    <xf numFmtId="3" fontId="34" fillId="4" borderId="6" xfId="0" applyNumberFormat="1" applyFont="1" applyFill="1" applyBorder="1" applyAlignment="1">
      <alignment horizontal="right" vertical="center"/>
    </xf>
    <xf numFmtId="3" fontId="34" fillId="30" borderId="6" xfId="0" applyNumberFormat="1" applyFont="1" applyFill="1" applyBorder="1" applyAlignment="1">
      <alignment horizontal="right" vertical="center"/>
    </xf>
    <xf numFmtId="0" fontId="30" fillId="11" borderId="6" xfId="0" applyFont="1" applyFill="1" applyBorder="1" applyAlignment="1">
      <alignment vertical="center"/>
    </xf>
    <xf numFmtId="3" fontId="30" fillId="11" borderId="6" xfId="0" applyNumberFormat="1" applyFont="1" applyFill="1" applyBorder="1" applyAlignment="1">
      <alignment horizontal="right" vertical="center"/>
    </xf>
    <xf numFmtId="0" fontId="33" fillId="3" borderId="6" xfId="0" applyFont="1" applyFill="1" applyBorder="1" applyAlignment="1">
      <alignment horizontal="center" vertical="center" wrapText="1"/>
    </xf>
    <xf numFmtId="0" fontId="0" fillId="2" borderId="0" xfId="0" applyFill="1"/>
    <xf numFmtId="165" fontId="10" fillId="2" borderId="1" xfId="0" applyNumberFormat="1" applyFont="1" applyFill="1" applyBorder="1" applyAlignment="1" applyProtection="1">
      <alignment horizontal="left" vertical="center"/>
    </xf>
    <xf numFmtId="3" fontId="6" fillId="17" borderId="6" xfId="0" applyNumberFormat="1"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18" xfId="0" applyFont="1" applyFill="1" applyBorder="1" applyAlignment="1">
      <alignment horizontal="center" vertical="center" wrapText="1"/>
    </xf>
    <xf numFmtId="0" fontId="12" fillId="6" borderId="0" xfId="0" applyFont="1" applyFill="1" applyAlignment="1">
      <alignment horizontal="center"/>
    </xf>
    <xf numFmtId="169" fontId="6" fillId="17" borderId="6" xfId="0" applyNumberFormat="1" applyFont="1" applyFill="1" applyBorder="1" applyAlignment="1">
      <alignment horizontal="center"/>
    </xf>
    <xf numFmtId="4" fontId="6" fillId="4" borderId="6" xfId="0" applyNumberFormat="1" applyFont="1" applyFill="1" applyBorder="1"/>
    <xf numFmtId="4" fontId="3" fillId="0" borderId="6" xfId="0" applyNumberFormat="1" applyFont="1" applyBorder="1" applyAlignment="1">
      <alignment vertical="center" wrapText="1"/>
    </xf>
    <xf numFmtId="4" fontId="21" fillId="17" borderId="6" xfId="0" applyNumberFormat="1" applyFont="1" applyFill="1" applyBorder="1"/>
    <xf numFmtId="4" fontId="1" fillId="31" borderId="6" xfId="0" applyNumberFormat="1" applyFont="1" applyFill="1" applyBorder="1"/>
    <xf numFmtId="4" fontId="6" fillId="4" borderId="6" xfId="0" applyNumberFormat="1" applyFont="1" applyFill="1" applyBorder="1" applyAlignment="1">
      <alignment horizontal="center" vertical="center" wrapText="1"/>
    </xf>
    <xf numFmtId="0" fontId="17" fillId="13" borderId="32" xfId="0" applyFont="1" applyFill="1" applyBorder="1" applyAlignment="1">
      <alignment vertical="top"/>
    </xf>
    <xf numFmtId="0" fontId="6" fillId="2" borderId="0" xfId="0" applyFont="1" applyFill="1" applyAlignment="1">
      <alignment vertical="top"/>
    </xf>
    <xf numFmtId="0" fontId="16" fillId="12" borderId="0" xfId="0" applyFont="1" applyFill="1" applyAlignment="1">
      <alignment horizontal="right" vertical="center"/>
    </xf>
    <xf numFmtId="0" fontId="6" fillId="12" borderId="0" xfId="0" applyFont="1" applyFill="1"/>
    <xf numFmtId="0" fontId="5" fillId="12" borderId="18" xfId="0" applyFont="1" applyFill="1" applyBorder="1" applyAlignment="1">
      <alignment horizontal="center" vertical="center" wrapText="1"/>
    </xf>
    <xf numFmtId="0" fontId="5" fillId="12" borderId="6" xfId="0" applyFont="1" applyFill="1" applyBorder="1" applyAlignment="1">
      <alignment horizontal="center" vertical="center" wrapText="1"/>
    </xf>
    <xf numFmtId="4" fontId="6" fillId="17" borderId="6" xfId="0" applyNumberFormat="1" applyFont="1" applyFill="1" applyBorder="1" applyAlignment="1">
      <alignment vertical="center" wrapText="1"/>
    </xf>
    <xf numFmtId="0" fontId="5" fillId="12" borderId="6" xfId="0" applyFont="1" applyFill="1" applyBorder="1" applyAlignment="1">
      <alignment horizontal="center" vertical="center" wrapText="1"/>
    </xf>
    <xf numFmtId="0" fontId="30" fillId="11" borderId="6" xfId="0" applyFont="1" applyFill="1" applyBorder="1" applyAlignment="1">
      <alignment horizontal="left" vertical="center"/>
    </xf>
    <xf numFmtId="0" fontId="5" fillId="3" borderId="6" xfId="0" applyFont="1" applyFill="1" applyBorder="1" applyAlignment="1">
      <alignment horizontal="center" vertical="center" wrapText="1"/>
    </xf>
    <xf numFmtId="0" fontId="5" fillId="2" borderId="0" xfId="0" applyFont="1" applyFill="1" applyAlignment="1">
      <alignment horizontal="right"/>
    </xf>
    <xf numFmtId="0" fontId="6" fillId="2" borderId="41" xfId="0" applyFont="1" applyFill="1" applyBorder="1"/>
    <xf numFmtId="0" fontId="35" fillId="2" borderId="0" xfId="0" applyFont="1" applyFill="1"/>
    <xf numFmtId="0" fontId="36" fillId="2" borderId="0" xfId="0" applyFont="1" applyFill="1"/>
    <xf numFmtId="0" fontId="37" fillId="0" borderId="0" xfId="0" applyFont="1"/>
    <xf numFmtId="0" fontId="37" fillId="2" borderId="0" xfId="0" applyFont="1" applyFill="1"/>
    <xf numFmtId="0" fontId="38" fillId="0" borderId="0" xfId="0" applyFont="1" applyBorder="1"/>
    <xf numFmtId="0" fontId="37" fillId="9" borderId="52" xfId="0" applyFont="1" applyFill="1" applyBorder="1"/>
    <xf numFmtId="0" fontId="37" fillId="2" borderId="52" xfId="0" applyFont="1" applyFill="1" applyBorder="1"/>
    <xf numFmtId="9" fontId="34" fillId="30" borderId="6" xfId="1" applyFont="1" applyFill="1" applyBorder="1" applyAlignment="1">
      <alignment horizontal="center" vertical="center"/>
    </xf>
    <xf numFmtId="0" fontId="37" fillId="0" borderId="0" xfId="0" applyFont="1" applyAlignment="1">
      <alignment horizontal="justify"/>
    </xf>
    <xf numFmtId="165" fontId="10" fillId="0" borderId="6" xfId="0" applyNumberFormat="1" applyFont="1" applyFill="1" applyBorder="1" applyAlignment="1" applyProtection="1">
      <alignment horizontal="left" vertical="center" wrapText="1"/>
    </xf>
    <xf numFmtId="168" fontId="10" fillId="0" borderId="6" xfId="0" applyNumberFormat="1" applyFont="1" applyFill="1" applyBorder="1" applyAlignment="1" applyProtection="1">
      <alignment horizontal="center" vertical="center"/>
    </xf>
    <xf numFmtId="0" fontId="6" fillId="4" borderId="6" xfId="0" applyFont="1" applyFill="1" applyBorder="1" applyAlignment="1">
      <alignment vertical="center"/>
    </xf>
    <xf numFmtId="2" fontId="6" fillId="4" borderId="6" xfId="0" applyNumberFormat="1" applyFont="1" applyFill="1" applyBorder="1" applyAlignment="1">
      <alignment vertical="center"/>
    </xf>
    <xf numFmtId="0" fontId="6" fillId="2" borderId="0" xfId="2" applyFont="1" applyFill="1" applyBorder="1"/>
    <xf numFmtId="0" fontId="6" fillId="2" borderId="0" xfId="2" applyFont="1" applyFill="1"/>
    <xf numFmtId="3" fontId="33" fillId="3" borderId="6" xfId="2" applyNumberFormat="1" applyFont="1" applyFill="1" applyBorder="1" applyAlignment="1">
      <alignment horizontal="center" vertical="center" wrapText="1"/>
    </xf>
    <xf numFmtId="0" fontId="6" fillId="2" borderId="6" xfId="2" applyFont="1" applyFill="1" applyBorder="1" applyAlignment="1"/>
    <xf numFmtId="0" fontId="5" fillId="2" borderId="0" xfId="0" applyFont="1" applyFill="1" applyAlignment="1">
      <alignment horizontal="left" vertical="top" wrapText="1"/>
    </xf>
    <xf numFmtId="168" fontId="6" fillId="4" borderId="6" xfId="2" applyNumberFormat="1" applyFont="1" applyFill="1" applyBorder="1" applyAlignment="1"/>
    <xf numFmtId="2" fontId="18" fillId="4" borderId="6" xfId="2" applyNumberFormat="1" applyFont="1" applyFill="1" applyBorder="1" applyAlignment="1"/>
    <xf numFmtId="0" fontId="5" fillId="12" borderId="18"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21" fillId="4" borderId="6" xfId="0" applyFont="1" applyFill="1" applyBorder="1"/>
    <xf numFmtId="0" fontId="21" fillId="4" borderId="18" xfId="0" applyFont="1" applyFill="1" applyBorder="1"/>
    <xf numFmtId="4" fontId="6" fillId="12" borderId="53" xfId="0" applyNumberFormat="1" applyFont="1" applyFill="1" applyBorder="1" applyAlignment="1"/>
    <xf numFmtId="4" fontId="6" fillId="4" borderId="18" xfId="0" applyNumberFormat="1" applyFont="1" applyFill="1" applyBorder="1"/>
    <xf numFmtId="168" fontId="6" fillId="4" borderId="18" xfId="0" applyNumberFormat="1" applyFont="1" applyFill="1" applyBorder="1"/>
    <xf numFmtId="167" fontId="6" fillId="17" borderId="6" xfId="0" applyNumberFormat="1" applyFont="1" applyFill="1" applyBorder="1" applyAlignment="1">
      <alignment horizontal="center" vertical="center" wrapText="1"/>
    </xf>
    <xf numFmtId="3" fontId="6" fillId="15" borderId="6" xfId="0" applyNumberFormat="1" applyFont="1" applyFill="1" applyBorder="1" applyProtection="1">
      <protection locked="0"/>
    </xf>
    <xf numFmtId="17" fontId="46" fillId="2" borderId="0" xfId="0" applyNumberFormat="1" applyFont="1" applyFill="1"/>
    <xf numFmtId="4" fontId="6" fillId="15" borderId="6" xfId="0" applyNumberFormat="1" applyFont="1" applyFill="1" applyBorder="1" applyAlignment="1" applyProtection="1">
      <alignment vertical="center" wrapText="1"/>
      <protection locked="0"/>
    </xf>
    <xf numFmtId="9" fontId="6" fillId="15" borderId="6" xfId="1" applyFont="1" applyFill="1" applyBorder="1" applyAlignment="1" applyProtection="1">
      <alignment horizontal="center" vertical="center" wrapText="1"/>
      <protection locked="0"/>
    </xf>
    <xf numFmtId="4" fontId="6" fillId="9" borderId="41" xfId="0" applyNumberFormat="1" applyFont="1" applyFill="1" applyBorder="1" applyAlignment="1" applyProtection="1">
      <alignment vertical="center" wrapText="1"/>
      <protection locked="0"/>
    </xf>
    <xf numFmtId="4" fontId="6" fillId="9" borderId="33" xfId="0" applyNumberFormat="1" applyFont="1" applyFill="1" applyBorder="1" applyAlignment="1" applyProtection="1">
      <alignment vertical="center" wrapText="1"/>
      <protection locked="0"/>
    </xf>
    <xf numFmtId="167" fontId="6" fillId="15" borderId="6" xfId="0" applyNumberFormat="1" applyFont="1" applyFill="1" applyBorder="1" applyProtection="1">
      <protection locked="0"/>
    </xf>
    <xf numFmtId="167" fontId="6" fillId="15" borderId="6" xfId="0" applyNumberFormat="1" applyFont="1" applyFill="1" applyBorder="1" applyAlignment="1" applyProtection="1">
      <alignment horizontal="right"/>
      <protection locked="0"/>
    </xf>
    <xf numFmtId="4" fontId="6" fillId="16" borderId="6" xfId="0" applyNumberFormat="1" applyFont="1" applyFill="1" applyBorder="1" applyProtection="1">
      <protection locked="0"/>
    </xf>
    <xf numFmtId="4" fontId="6" fillId="15" borderId="6" xfId="0" applyNumberFormat="1" applyFont="1" applyFill="1" applyBorder="1" applyProtection="1">
      <protection locked="0"/>
    </xf>
    <xf numFmtId="0" fontId="6" fillId="9" borderId="6" xfId="0" applyFont="1" applyFill="1" applyBorder="1" applyProtection="1">
      <protection locked="0"/>
    </xf>
    <xf numFmtId="168" fontId="6" fillId="15" borderId="6" xfId="0" applyNumberFormat="1" applyFont="1" applyFill="1" applyBorder="1" applyProtection="1">
      <protection locked="0"/>
    </xf>
    <xf numFmtId="0" fontId="37" fillId="12" borderId="0" xfId="0" applyFont="1" applyFill="1" applyAlignment="1">
      <alignment horizontal="left" vertical="center" wrapText="1"/>
    </xf>
    <xf numFmtId="0" fontId="10" fillId="12" borderId="0" xfId="0" applyFont="1" applyFill="1" applyAlignment="1">
      <alignment horizontal="left" vertical="center" wrapText="1"/>
    </xf>
    <xf numFmtId="0" fontId="10" fillId="12" borderId="0" xfId="0" applyFont="1" applyFill="1" applyAlignment="1">
      <alignment horizontal="center" vertical="center" wrapText="1"/>
    </xf>
    <xf numFmtId="0" fontId="0" fillId="12" borderId="0" xfId="0" applyFill="1" applyAlignment="1">
      <alignment horizontal="center" vertical="center" wrapText="1"/>
    </xf>
    <xf numFmtId="0" fontId="0" fillId="12" borderId="0" xfId="0" applyFill="1" applyAlignment="1">
      <alignment horizontal="left" vertical="center" wrapText="1"/>
    </xf>
    <xf numFmtId="165" fontId="6" fillId="15" borderId="18" xfId="0" applyNumberFormat="1" applyFont="1" applyFill="1" applyBorder="1" applyProtection="1">
      <protection locked="0"/>
    </xf>
    <xf numFmtId="165" fontId="0" fillId="31" borderId="20" xfId="0" applyNumberFormat="1" applyFill="1" applyBorder="1" applyProtection="1">
      <protection locked="0"/>
    </xf>
    <xf numFmtId="0" fontId="5" fillId="12" borderId="18" xfId="0" applyFont="1" applyFill="1" applyBorder="1" applyAlignment="1">
      <alignment horizontal="center" vertical="center" wrapText="1"/>
    </xf>
    <xf numFmtId="0" fontId="5" fillId="12" borderId="20" xfId="0" applyFont="1" applyFill="1" applyBorder="1" applyAlignment="1">
      <alignment horizontal="center" vertical="center" wrapText="1"/>
    </xf>
    <xf numFmtId="0" fontId="5" fillId="12" borderId="19" xfId="0" applyFont="1" applyFill="1" applyBorder="1" applyAlignment="1">
      <alignment horizontal="center" vertical="center" wrapText="1"/>
    </xf>
    <xf numFmtId="168" fontId="6" fillId="4" borderId="18" xfId="0" applyNumberFormat="1" applyFont="1" applyFill="1" applyBorder="1" applyAlignment="1">
      <alignment horizontal="center"/>
    </xf>
    <xf numFmtId="168" fontId="6" fillId="4" borderId="20" xfId="0" applyNumberFormat="1" applyFont="1" applyFill="1" applyBorder="1" applyAlignment="1">
      <alignment horizontal="center"/>
    </xf>
    <xf numFmtId="0" fontId="6" fillId="12" borderId="6" xfId="0" applyFont="1" applyFill="1" applyBorder="1" applyAlignment="1">
      <alignment horizontal="center"/>
    </xf>
    <xf numFmtId="0" fontId="6" fillId="12" borderId="6" xfId="0" applyFont="1" applyFill="1" applyBorder="1" applyAlignment="1">
      <alignment horizontal="left" vertical="center" wrapText="1"/>
    </xf>
    <xf numFmtId="166" fontId="6" fillId="4" borderId="18" xfId="1" applyNumberFormat="1" applyFont="1" applyFill="1" applyBorder="1" applyAlignment="1" applyProtection="1">
      <alignment horizontal="center"/>
    </xf>
    <xf numFmtId="166" fontId="6" fillId="4" borderId="20" xfId="1" applyNumberFormat="1" applyFont="1" applyFill="1" applyBorder="1" applyAlignment="1" applyProtection="1">
      <alignment horizontal="center"/>
    </xf>
    <xf numFmtId="166" fontId="6" fillId="15" borderId="18" xfId="0" applyNumberFormat="1" applyFont="1" applyFill="1" applyBorder="1" applyProtection="1">
      <protection locked="0"/>
    </xf>
    <xf numFmtId="166" fontId="0" fillId="0" borderId="20" xfId="0" applyNumberFormat="1" applyBorder="1" applyProtection="1">
      <protection locked="0"/>
    </xf>
    <xf numFmtId="0" fontId="5" fillId="12" borderId="34" xfId="0" applyFont="1" applyFill="1" applyBorder="1" applyAlignment="1">
      <alignment horizontal="center" vertical="center" wrapText="1"/>
    </xf>
    <xf numFmtId="0" fontId="5" fillId="12" borderId="35" xfId="0" applyFont="1" applyFill="1" applyBorder="1" applyAlignment="1">
      <alignment horizontal="center" vertical="center" wrapText="1"/>
    </xf>
    <xf numFmtId="0" fontId="5" fillId="14" borderId="32" xfId="0" applyFont="1" applyFill="1" applyBorder="1" applyAlignment="1">
      <alignment horizontal="center" vertical="center" wrapText="1"/>
    </xf>
    <xf numFmtId="0" fontId="5" fillId="14" borderId="33" xfId="0" applyFont="1" applyFill="1" applyBorder="1" applyAlignment="1">
      <alignment horizontal="center" vertical="center" wrapText="1"/>
    </xf>
    <xf numFmtId="3" fontId="6" fillId="2" borderId="18" xfId="0" applyNumberFormat="1" applyFont="1" applyFill="1" applyBorder="1" applyAlignment="1">
      <alignment horizontal="center" vertical="center"/>
    </xf>
    <xf numFmtId="3" fontId="6" fillId="2" borderId="20" xfId="0" applyNumberFormat="1" applyFont="1" applyFill="1" applyBorder="1" applyAlignment="1">
      <alignment horizontal="center" vertical="center"/>
    </xf>
    <xf numFmtId="4" fontId="6" fillId="0" borderId="18" xfId="0" applyNumberFormat="1" applyFont="1" applyFill="1" applyBorder="1" applyAlignment="1">
      <alignment horizontal="center" vertical="center"/>
    </xf>
    <xf numFmtId="4" fontId="6" fillId="0" borderId="20" xfId="0" applyNumberFormat="1" applyFont="1" applyFill="1" applyBorder="1" applyAlignment="1">
      <alignment horizontal="center" vertical="center"/>
    </xf>
    <xf numFmtId="0" fontId="5" fillId="12" borderId="6" xfId="0" applyFont="1" applyFill="1" applyBorder="1" applyAlignment="1">
      <alignment horizontal="center" vertical="center" wrapText="1"/>
    </xf>
    <xf numFmtId="3" fontId="6" fillId="4" borderId="18" xfId="0" applyNumberFormat="1" applyFont="1" applyFill="1" applyBorder="1" applyAlignment="1">
      <alignment horizontal="center" vertical="center"/>
    </xf>
    <xf numFmtId="3" fontId="6" fillId="4" borderId="20" xfId="0" applyNumberFormat="1" applyFont="1" applyFill="1" applyBorder="1" applyAlignment="1">
      <alignment horizontal="center" vertical="center"/>
    </xf>
    <xf numFmtId="0" fontId="5" fillId="14" borderId="6"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41" xfId="0" applyFont="1" applyFill="1" applyBorder="1" applyAlignment="1">
      <alignment horizontal="center" vertical="center" wrapText="1"/>
    </xf>
    <xf numFmtId="0" fontId="5" fillId="14" borderId="31" xfId="0" applyFont="1" applyFill="1" applyBorder="1" applyAlignment="1">
      <alignment horizontal="center" vertical="center" wrapText="1"/>
    </xf>
    <xf numFmtId="0" fontId="17" fillId="13" borderId="32" xfId="0" applyFont="1" applyFill="1" applyBorder="1" applyAlignment="1">
      <alignment horizontal="right"/>
    </xf>
    <xf numFmtId="0" fontId="6" fillId="12" borderId="0" xfId="0" applyFont="1" applyFill="1" applyBorder="1" applyAlignment="1">
      <alignment horizontal="left" vertical="center" wrapText="1"/>
    </xf>
    <xf numFmtId="4" fontId="6" fillId="5" borderId="18" xfId="0" applyNumberFormat="1" applyFont="1" applyFill="1" applyBorder="1" applyAlignment="1">
      <alignment horizontal="center"/>
    </xf>
    <xf numFmtId="4" fontId="6" fillId="5" borderId="20" xfId="0" applyNumberFormat="1" applyFont="1" applyFill="1" applyBorder="1" applyAlignment="1">
      <alignment horizontal="center"/>
    </xf>
    <xf numFmtId="0" fontId="6" fillId="12" borderId="6" xfId="0" applyFont="1" applyFill="1" applyBorder="1" applyAlignment="1">
      <alignment horizontal="center" vertical="center" wrapText="1"/>
    </xf>
    <xf numFmtId="168" fontId="2" fillId="0" borderId="18" xfId="0" applyNumberFormat="1" applyFont="1" applyFill="1" applyBorder="1" applyAlignment="1">
      <alignment horizontal="center"/>
    </xf>
    <xf numFmtId="168" fontId="2" fillId="0" borderId="20" xfId="0" applyNumberFormat="1" applyFont="1" applyFill="1" applyBorder="1" applyAlignment="1">
      <alignment horizontal="center"/>
    </xf>
    <xf numFmtId="3" fontId="2" fillId="0" borderId="18" xfId="0" applyNumberFormat="1" applyFont="1" applyFill="1" applyBorder="1" applyAlignment="1">
      <alignment horizontal="center"/>
    </xf>
    <xf numFmtId="3" fontId="2" fillId="0" borderId="20" xfId="0" applyNumberFormat="1" applyFont="1" applyFill="1" applyBorder="1" applyAlignment="1">
      <alignment horizontal="center"/>
    </xf>
    <xf numFmtId="4" fontId="2" fillId="0" borderId="18" xfId="0" applyNumberFormat="1" applyFont="1" applyFill="1" applyBorder="1" applyAlignment="1">
      <alignment horizontal="center"/>
    </xf>
    <xf numFmtId="4" fontId="2" fillId="0" borderId="20" xfId="0" applyNumberFormat="1" applyFont="1" applyFill="1" applyBorder="1" applyAlignment="1">
      <alignment horizontal="center"/>
    </xf>
    <xf numFmtId="0" fontId="5" fillId="12" borderId="6" xfId="0" applyFont="1" applyFill="1" applyBorder="1" applyAlignment="1">
      <alignment horizontal="center" vertical="center"/>
    </xf>
    <xf numFmtId="0" fontId="17" fillId="13" borderId="0" xfId="0" applyFont="1" applyFill="1" applyBorder="1" applyAlignment="1">
      <alignment horizontal="right" vertical="top"/>
    </xf>
    <xf numFmtId="0" fontId="17" fillId="13" borderId="32" xfId="0" applyFont="1" applyFill="1" applyBorder="1" applyAlignment="1">
      <alignment horizontal="right" vertical="top"/>
    </xf>
    <xf numFmtId="0" fontId="5" fillId="29" borderId="18" xfId="0" applyFont="1" applyFill="1" applyBorder="1" applyAlignment="1" applyProtection="1">
      <alignment horizontal="center" vertical="center" wrapText="1"/>
    </xf>
    <xf numFmtId="0" fontId="5" fillId="29" borderId="20" xfId="0" applyFont="1" applyFill="1" applyBorder="1" applyAlignment="1" applyProtection="1">
      <alignment horizontal="center" vertical="center" wrapText="1"/>
    </xf>
    <xf numFmtId="0" fontId="3" fillId="0" borderId="6" xfId="0" applyFont="1" applyBorder="1" applyAlignment="1">
      <alignment horizontal="left" vertical="center" wrapText="1"/>
    </xf>
    <xf numFmtId="0" fontId="25" fillId="25" borderId="6" xfId="0" applyFont="1" applyFill="1" applyBorder="1" applyAlignment="1">
      <alignment horizontal="center" vertical="center" wrapText="1"/>
    </xf>
    <xf numFmtId="0" fontId="26" fillId="24" borderId="6" xfId="0" applyFont="1" applyFill="1" applyBorder="1" applyAlignment="1">
      <alignment horizontal="center" vertical="center" wrapText="1"/>
    </xf>
    <xf numFmtId="0" fontId="5" fillId="12" borderId="18" xfId="0" applyFont="1" applyFill="1" applyBorder="1" applyAlignment="1">
      <alignment horizontal="center"/>
    </xf>
    <xf numFmtId="0" fontId="5" fillId="12" borderId="19" xfId="0" applyFont="1" applyFill="1" applyBorder="1" applyAlignment="1">
      <alignment horizontal="center"/>
    </xf>
    <xf numFmtId="0" fontId="5" fillId="12" borderId="20" xfId="0" applyFont="1" applyFill="1" applyBorder="1" applyAlignment="1">
      <alignment horizontal="center"/>
    </xf>
    <xf numFmtId="0" fontId="6" fillId="7" borderId="19" xfId="0" applyFont="1" applyFill="1" applyBorder="1" applyAlignment="1">
      <alignment horizontal="center" vertical="center"/>
    </xf>
    <xf numFmtId="0" fontId="6" fillId="9" borderId="41" xfId="0" applyFont="1" applyFill="1" applyBorder="1" applyAlignment="1" applyProtection="1">
      <alignment horizontal="left" vertical="center" wrapText="1"/>
      <protection locked="0"/>
    </xf>
    <xf numFmtId="0" fontId="6" fillId="9" borderId="4" xfId="0" applyFont="1" applyFill="1" applyBorder="1" applyAlignment="1" applyProtection="1">
      <alignment horizontal="left" vertical="center" wrapText="1"/>
      <protection locked="0"/>
    </xf>
    <xf numFmtId="0" fontId="6" fillId="7" borderId="18" xfId="0" applyFont="1" applyFill="1" applyBorder="1" applyAlignment="1">
      <alignment horizontal="center" vertical="center"/>
    </xf>
    <xf numFmtId="0" fontId="13" fillId="2" borderId="0" xfId="0" applyFont="1" applyFill="1" applyBorder="1" applyAlignment="1">
      <alignment horizontal="left" vertical="top" wrapText="1"/>
    </xf>
    <xf numFmtId="0" fontId="5" fillId="17" borderId="0" xfId="0" applyFont="1" applyFill="1" applyBorder="1" applyAlignment="1">
      <alignment horizontal="center" vertical="center" wrapText="1"/>
    </xf>
    <xf numFmtId="0" fontId="6" fillId="14" borderId="6" xfId="0" applyFont="1" applyFill="1" applyBorder="1" applyAlignment="1">
      <alignment horizontal="center" vertical="center" wrapText="1"/>
    </xf>
    <xf numFmtId="4" fontId="6" fillId="15" borderId="18" xfId="0" applyNumberFormat="1" applyFont="1" applyFill="1" applyBorder="1" applyAlignment="1" applyProtection="1">
      <alignment horizontal="center" vertical="center" wrapText="1"/>
      <protection locked="0"/>
    </xf>
    <xf numFmtId="4" fontId="6" fillId="15" borderId="20" xfId="0" applyNumberFormat="1" applyFont="1" applyFill="1" applyBorder="1" applyAlignment="1" applyProtection="1">
      <alignment horizontal="center" vertical="center" wrapText="1"/>
      <protection locked="0"/>
    </xf>
    <xf numFmtId="0" fontId="5" fillId="14" borderId="18" xfId="0" applyFont="1" applyFill="1" applyBorder="1" applyAlignment="1">
      <alignment horizontal="center" vertical="center" wrapText="1"/>
    </xf>
    <xf numFmtId="0" fontId="5" fillId="14" borderId="20" xfId="0" applyFont="1" applyFill="1" applyBorder="1" applyAlignment="1">
      <alignment horizontal="center" vertical="center" wrapText="1"/>
    </xf>
    <xf numFmtId="0" fontId="6" fillId="2" borderId="6" xfId="0" applyFont="1" applyFill="1" applyBorder="1" applyAlignment="1">
      <alignment horizontal="left"/>
    </xf>
    <xf numFmtId="2" fontId="6" fillId="2" borderId="6" xfId="0" applyNumberFormat="1" applyFont="1" applyFill="1" applyBorder="1" applyAlignment="1">
      <alignment horizontal="center"/>
    </xf>
    <xf numFmtId="164" fontId="6" fillId="2" borderId="6" xfId="0" applyNumberFormat="1" applyFont="1" applyFill="1" applyBorder="1" applyAlignment="1">
      <alignment horizontal="center"/>
    </xf>
    <xf numFmtId="165" fontId="6" fillId="2" borderId="6" xfId="0" applyNumberFormat="1" applyFont="1" applyFill="1" applyBorder="1" applyAlignment="1">
      <alignment horizontal="center"/>
    </xf>
    <xf numFmtId="0" fontId="5" fillId="7" borderId="18"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14" fillId="2" borderId="31" xfId="0" applyFont="1" applyFill="1" applyBorder="1" applyAlignment="1">
      <alignment horizontal="left" vertical="top" wrapText="1"/>
    </xf>
    <xf numFmtId="0" fontId="42" fillId="2" borderId="0" xfId="0" applyFont="1" applyFill="1" applyBorder="1" applyAlignment="1">
      <alignment horizontal="left" vertical="top" wrapText="1"/>
    </xf>
    <xf numFmtId="0" fontId="42" fillId="2" borderId="31" xfId="0" applyFont="1" applyFill="1" applyBorder="1" applyAlignment="1">
      <alignment horizontal="left" vertical="top" wrapText="1"/>
    </xf>
    <xf numFmtId="0" fontId="21" fillId="17" borderId="6" xfId="0" applyFont="1" applyFill="1" applyBorder="1" applyAlignment="1">
      <alignment horizontal="center"/>
    </xf>
    <xf numFmtId="0" fontId="12" fillId="6" borderId="0" xfId="0" applyFont="1" applyFill="1" applyAlignment="1">
      <alignment horizontal="left" vertical="top"/>
    </xf>
    <xf numFmtId="0" fontId="17" fillId="13" borderId="29" xfId="0" applyFont="1" applyFill="1" applyBorder="1" applyAlignment="1">
      <alignment horizontal="right"/>
    </xf>
    <xf numFmtId="0" fontId="20" fillId="20" borderId="6" xfId="0" applyFont="1" applyFill="1" applyBorder="1" applyAlignment="1">
      <alignment horizontal="center" vertical="center" wrapText="1"/>
    </xf>
    <xf numFmtId="0" fontId="17" fillId="13" borderId="30" xfId="0" applyFont="1" applyFill="1" applyBorder="1" applyAlignment="1">
      <alignment horizontal="right"/>
    </xf>
    <xf numFmtId="0" fontId="8" fillId="6" borderId="0" xfId="0" applyFont="1" applyFill="1" applyBorder="1" applyAlignment="1">
      <alignment horizontal="left" vertical="center"/>
    </xf>
    <xf numFmtId="0" fontId="5" fillId="14" borderId="34"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9" fillId="14" borderId="31" xfId="0" applyFont="1" applyFill="1" applyBorder="1" applyAlignment="1">
      <alignment horizontal="center" vertical="center" wrapText="1"/>
    </xf>
    <xf numFmtId="0" fontId="19" fillId="14" borderId="13" xfId="0" applyFont="1" applyFill="1" applyBorder="1" applyAlignment="1">
      <alignment horizontal="center" vertical="center" wrapText="1"/>
    </xf>
    <xf numFmtId="0" fontId="19" fillId="14" borderId="4"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6" xfId="0" applyFont="1" applyFill="1" applyBorder="1" applyAlignment="1">
      <alignment horizontal="center" vertical="center" wrapText="1"/>
    </xf>
    <xf numFmtId="0" fontId="17" fillId="13" borderId="29" xfId="0" applyFont="1" applyFill="1" applyBorder="1" applyAlignment="1">
      <alignment horizontal="right" vertical="center"/>
    </xf>
    <xf numFmtId="0" fontId="5" fillId="9" borderId="45" xfId="0" applyFont="1" applyFill="1" applyBorder="1" applyAlignment="1" applyProtection="1">
      <alignment horizontal="left" vertical="center"/>
      <protection locked="0"/>
    </xf>
    <xf numFmtId="0" fontId="5" fillId="9" borderId="42" xfId="0" applyFont="1" applyFill="1" applyBorder="1" applyAlignment="1" applyProtection="1">
      <alignment horizontal="left" vertical="center"/>
      <protection locked="0"/>
    </xf>
    <xf numFmtId="0" fontId="5" fillId="9" borderId="46" xfId="0" applyFont="1" applyFill="1" applyBorder="1" applyAlignment="1" applyProtection="1">
      <alignment horizontal="left" vertical="center"/>
      <protection locked="0"/>
    </xf>
    <xf numFmtId="0" fontId="5" fillId="9" borderId="47" xfId="0" applyFont="1" applyFill="1" applyBorder="1" applyAlignment="1" applyProtection="1">
      <alignment horizontal="left" vertical="center"/>
      <protection locked="0"/>
    </xf>
    <xf numFmtId="0" fontId="5" fillId="9" borderId="43" xfId="0" applyFont="1" applyFill="1" applyBorder="1" applyAlignment="1" applyProtection="1">
      <alignment horizontal="left" vertical="center"/>
      <protection locked="0"/>
    </xf>
    <xf numFmtId="0" fontId="5" fillId="9" borderId="48" xfId="0" applyFont="1" applyFill="1" applyBorder="1" applyAlignment="1" applyProtection="1">
      <alignment horizontal="left" vertical="center"/>
      <protection locked="0"/>
    </xf>
    <xf numFmtId="0" fontId="5" fillId="7" borderId="6" xfId="0" applyFont="1" applyFill="1" applyBorder="1" applyAlignment="1">
      <alignment horizontal="center" vertical="center"/>
    </xf>
    <xf numFmtId="0" fontId="5" fillId="9" borderId="49" xfId="0" applyFont="1" applyFill="1" applyBorder="1" applyAlignment="1" applyProtection="1">
      <alignment horizontal="center" vertical="center"/>
      <protection locked="0"/>
    </xf>
    <xf numFmtId="0" fontId="5" fillId="9" borderId="44" xfId="0" applyFont="1" applyFill="1" applyBorder="1" applyAlignment="1" applyProtection="1">
      <alignment horizontal="center" vertical="center"/>
      <protection locked="0"/>
    </xf>
    <xf numFmtId="0" fontId="5" fillId="9" borderId="50" xfId="0" applyFont="1" applyFill="1" applyBorder="1" applyAlignment="1" applyProtection="1">
      <alignment horizontal="center" vertical="center"/>
      <protection locked="0"/>
    </xf>
    <xf numFmtId="0" fontId="9" fillId="8" borderId="0" xfId="0" applyFont="1" applyFill="1" applyAlignment="1">
      <alignment horizontal="center" vertical="center" wrapText="1"/>
    </xf>
    <xf numFmtId="0" fontId="9" fillId="6" borderId="0"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18" borderId="0" xfId="0" applyFont="1" applyFill="1" applyBorder="1" applyAlignment="1">
      <alignment horizontal="center" vertical="center" wrapText="1"/>
    </xf>
    <xf numFmtId="0" fontId="13" fillId="2" borderId="0" xfId="0" applyFont="1" applyFill="1" applyBorder="1" applyAlignment="1">
      <alignment horizontal="center" wrapText="1"/>
    </xf>
    <xf numFmtId="0" fontId="15" fillId="6" borderId="8" xfId="0" applyFont="1" applyFill="1" applyBorder="1" applyAlignment="1">
      <alignment horizontal="center" vertical="center" wrapText="1"/>
    </xf>
    <xf numFmtId="0" fontId="6" fillId="9" borderId="51" xfId="0" applyFont="1" applyFill="1" applyBorder="1" applyAlignment="1" applyProtection="1">
      <alignment horizontal="left" vertical="top"/>
      <protection locked="0"/>
    </xf>
    <xf numFmtId="0" fontId="6" fillId="4" borderId="6" xfId="0" applyFont="1" applyFill="1" applyBorder="1" applyAlignment="1">
      <alignment horizontal="left"/>
    </xf>
    <xf numFmtId="0" fontId="8" fillId="8" borderId="17" xfId="0" applyFont="1" applyFill="1" applyBorder="1" applyAlignment="1">
      <alignment horizontal="center" vertical="center" wrapText="1"/>
    </xf>
    <xf numFmtId="0" fontId="8" fillId="8" borderId="0" xfId="0" applyFont="1" applyFill="1" applyBorder="1" applyAlignment="1">
      <alignment horizontal="center" vertical="center" wrapText="1"/>
    </xf>
    <xf numFmtId="9" fontId="8" fillId="8" borderId="17" xfId="1" applyFont="1" applyFill="1" applyBorder="1" applyAlignment="1">
      <alignment horizontal="center" vertical="center"/>
    </xf>
    <xf numFmtId="9" fontId="8" fillId="8" borderId="0" xfId="1" applyFont="1" applyFill="1" applyBorder="1" applyAlignment="1">
      <alignment horizontal="center" vertical="center"/>
    </xf>
    <xf numFmtId="0" fontId="6" fillId="15" borderId="6" xfId="0" applyFont="1" applyFill="1" applyBorder="1" applyAlignment="1" applyProtection="1">
      <alignment horizontal="left"/>
      <protection locked="0"/>
    </xf>
    <xf numFmtId="0" fontId="25" fillId="28" borderId="33" xfId="0" applyFont="1" applyFill="1" applyBorder="1" applyAlignment="1">
      <alignment horizontal="center" vertical="center" wrapText="1"/>
    </xf>
    <xf numFmtId="0" fontId="25" fillId="28" borderId="35" xfId="0" applyFont="1" applyFill="1" applyBorder="1" applyAlignment="1">
      <alignment horizontal="center" vertical="center" wrapText="1"/>
    </xf>
    <xf numFmtId="0" fontId="25" fillId="28" borderId="7" xfId="0" applyFont="1" applyFill="1" applyBorder="1" applyAlignment="1">
      <alignment horizontal="center" vertical="center" wrapText="1"/>
    </xf>
    <xf numFmtId="0" fontId="25" fillId="28" borderId="34" xfId="0" applyFont="1" applyFill="1" applyBorder="1" applyAlignment="1">
      <alignment horizontal="center" vertical="center" wrapText="1"/>
    </xf>
    <xf numFmtId="0" fontId="27" fillId="27" borderId="6" xfId="0" applyFont="1" applyFill="1" applyBorder="1" applyAlignment="1">
      <alignment horizontal="left" vertical="center" wrapText="1"/>
    </xf>
    <xf numFmtId="4" fontId="6" fillId="26" borderId="6" xfId="0" applyNumberFormat="1" applyFont="1" applyFill="1" applyBorder="1" applyAlignment="1">
      <alignment horizontal="center"/>
    </xf>
    <xf numFmtId="4" fontId="28" fillId="21" borderId="18" xfId="0" applyNumberFormat="1" applyFont="1" applyFill="1" applyBorder="1" applyAlignment="1">
      <alignment horizontal="center" vertical="center" wrapText="1"/>
    </xf>
    <xf numFmtId="4" fontId="28" fillId="21" borderId="20" xfId="0" applyNumberFormat="1" applyFont="1" applyFill="1" applyBorder="1" applyAlignment="1">
      <alignment horizontal="center" vertical="center" wrapText="1"/>
    </xf>
    <xf numFmtId="0" fontId="8" fillId="27" borderId="6" xfId="0" applyFont="1" applyFill="1" applyBorder="1" applyAlignment="1">
      <alignment horizontal="center" vertical="center" wrapText="1"/>
    </xf>
    <xf numFmtId="0" fontId="6" fillId="2" borderId="0" xfId="0" applyFont="1" applyFill="1" applyAlignment="1">
      <alignment horizontal="left" vertical="center" wrapText="1"/>
    </xf>
    <xf numFmtId="0" fontId="13" fillId="2" borderId="32" xfId="0" applyFont="1" applyFill="1" applyBorder="1" applyAlignment="1">
      <alignment horizontal="center" wrapText="1"/>
    </xf>
    <xf numFmtId="0" fontId="13" fillId="2" borderId="36" xfId="0" applyFont="1" applyFill="1" applyBorder="1" applyAlignment="1">
      <alignment horizontal="center" wrapText="1"/>
    </xf>
    <xf numFmtId="0" fontId="13" fillId="2" borderId="31" xfId="0" applyFont="1" applyFill="1" applyBorder="1" applyAlignment="1">
      <alignment horizontal="center" wrapText="1"/>
    </xf>
    <xf numFmtId="4" fontId="6" fillId="12" borderId="6" xfId="0" applyNumberFormat="1" applyFont="1" applyFill="1" applyBorder="1" applyAlignment="1">
      <alignment horizontal="center"/>
    </xf>
    <xf numFmtId="4" fontId="6" fillId="12" borderId="39" xfId="0" applyNumberFormat="1" applyFont="1" applyFill="1" applyBorder="1" applyAlignment="1">
      <alignment horizontal="center"/>
    </xf>
    <xf numFmtId="0" fontId="20" fillId="20" borderId="3"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0" fillId="22" borderId="6" xfId="0" applyFont="1" applyFill="1" applyBorder="1" applyAlignment="1">
      <alignment horizontal="center" vertical="center"/>
    </xf>
    <xf numFmtId="0" fontId="21" fillId="4" borderId="6" xfId="0" applyFont="1" applyFill="1" applyBorder="1" applyAlignment="1">
      <alignment horizontal="left"/>
    </xf>
    <xf numFmtId="0" fontId="20" fillId="20" borderId="18" xfId="0" applyFont="1" applyFill="1" applyBorder="1" applyAlignment="1">
      <alignment horizontal="center" vertical="center" wrapText="1"/>
    </xf>
    <xf numFmtId="0" fontId="20" fillId="20" borderId="20" xfId="0" applyFont="1" applyFill="1" applyBorder="1" applyAlignment="1">
      <alignment horizontal="center" vertical="center" wrapText="1"/>
    </xf>
    <xf numFmtId="3" fontId="6" fillId="2" borderId="18" xfId="0" applyNumberFormat="1" applyFont="1" applyFill="1" applyBorder="1" applyAlignment="1">
      <alignment horizontal="center"/>
    </xf>
    <xf numFmtId="3" fontId="6" fillId="2" borderId="20" xfId="0" applyNumberFormat="1" applyFont="1" applyFill="1" applyBorder="1" applyAlignment="1">
      <alignment horizontal="center"/>
    </xf>
    <xf numFmtId="0" fontId="5" fillId="12" borderId="6" xfId="0" applyFont="1" applyFill="1" applyBorder="1" applyAlignment="1">
      <alignment horizontal="center"/>
    </xf>
    <xf numFmtId="0" fontId="5" fillId="12" borderId="4" xfId="0" applyFont="1" applyFill="1" applyBorder="1" applyAlignment="1">
      <alignment horizontal="center" vertical="center" wrapText="1"/>
    </xf>
    <xf numFmtId="0" fontId="5" fillId="12" borderId="41" xfId="0" applyFont="1" applyFill="1" applyBorder="1" applyAlignment="1">
      <alignment horizontal="center" vertical="center" wrapText="1"/>
    </xf>
    <xf numFmtId="0" fontId="5" fillId="12" borderId="33" xfId="0" applyFont="1" applyFill="1" applyBorder="1" applyAlignment="1">
      <alignment horizontal="center" vertical="center" wrapText="1"/>
    </xf>
    <xf numFmtId="0" fontId="6" fillId="12" borderId="0" xfId="0" applyFont="1" applyFill="1" applyAlignment="1">
      <alignment horizontal="left" vertical="center" wrapText="1"/>
    </xf>
    <xf numFmtId="0" fontId="30" fillId="11" borderId="6" xfId="0" applyFont="1" applyFill="1" applyBorder="1" applyAlignment="1">
      <alignment horizontal="center" vertical="center"/>
    </xf>
    <xf numFmtId="0" fontId="30" fillId="11" borderId="6" xfId="0" applyFont="1" applyFill="1" applyBorder="1" applyAlignment="1">
      <alignment horizontal="left" vertical="center"/>
    </xf>
    <xf numFmtId="0" fontId="30" fillId="11" borderId="6" xfId="0" applyFont="1" applyFill="1" applyBorder="1" applyAlignment="1">
      <alignment horizontal="right" vertical="center"/>
    </xf>
    <xf numFmtId="0" fontId="5" fillId="3" borderId="6" xfId="0" applyFont="1" applyFill="1" applyBorder="1" applyAlignment="1">
      <alignment horizontal="center" vertical="center" wrapText="1"/>
    </xf>
    <xf numFmtId="0" fontId="6" fillId="9" borderId="18" xfId="2" applyFont="1" applyFill="1" applyBorder="1" applyAlignment="1">
      <alignment horizontal="center"/>
    </xf>
    <xf numFmtId="0" fontId="6" fillId="9" borderId="20" xfId="2" applyFont="1" applyFill="1" applyBorder="1" applyAlignment="1">
      <alignment horizontal="center"/>
    </xf>
    <xf numFmtId="0" fontId="5" fillId="2" borderId="0" xfId="0" applyFont="1" applyFill="1" applyAlignment="1">
      <alignment horizontal="left" vertical="top" wrapText="1"/>
    </xf>
    <xf numFmtId="0" fontId="6" fillId="2" borderId="0" xfId="2" applyFont="1" applyFill="1" applyAlignment="1">
      <alignment horizontal="left" vertical="top" wrapText="1"/>
    </xf>
    <xf numFmtId="0" fontId="33" fillId="3" borderId="3" xfId="2" applyFont="1" applyFill="1" applyBorder="1" applyAlignment="1">
      <alignment horizontal="center" vertical="center" wrapText="1"/>
    </xf>
    <xf numFmtId="0" fontId="33" fillId="3" borderId="7" xfId="2" applyFont="1" applyFill="1" applyBorder="1" applyAlignment="1">
      <alignment horizontal="center" vertical="center" wrapText="1"/>
    </xf>
    <xf numFmtId="0" fontId="33" fillId="3" borderId="4" xfId="2" applyFont="1" applyFill="1" applyBorder="1" applyAlignment="1">
      <alignment horizontal="center" vertical="center" wrapText="1"/>
    </xf>
    <xf numFmtId="0" fontId="33" fillId="3" borderId="33" xfId="2" applyFont="1" applyFill="1" applyBorder="1" applyAlignment="1">
      <alignment horizontal="center" vertical="center" wrapText="1"/>
    </xf>
    <xf numFmtId="0" fontId="33" fillId="3" borderId="34" xfId="2" applyFont="1" applyFill="1" applyBorder="1" applyAlignment="1">
      <alignment horizontal="center" vertical="center" wrapText="1"/>
    </xf>
    <xf numFmtId="0" fontId="33" fillId="3" borderId="35" xfId="2" applyFont="1" applyFill="1" applyBorder="1" applyAlignment="1">
      <alignment horizontal="center" vertical="center" wrapText="1"/>
    </xf>
    <xf numFmtId="3" fontId="33" fillId="3" borderId="18" xfId="2" applyNumberFormat="1" applyFont="1" applyFill="1" applyBorder="1" applyAlignment="1">
      <alignment horizontal="center" vertical="center" wrapText="1"/>
    </xf>
    <xf numFmtId="3" fontId="33" fillId="3" borderId="20" xfId="2" applyNumberFormat="1" applyFont="1" applyFill="1" applyBorder="1" applyAlignment="1">
      <alignment horizontal="center" vertical="center" wrapText="1"/>
    </xf>
  </cellXfs>
  <cellStyles count="3">
    <cellStyle name="Normal" xfId="0" builtinId="0"/>
    <cellStyle name="Normal 2" xfId="2" xr:uid="{00000000-0005-0000-0000-00000100000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115FDD2-17FE-4614-86AE-84C589787DE9}"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s-ES"/>
        </a:p>
      </dgm:t>
    </dgm:pt>
    <dgm:pt modelId="{CD759314-081E-48FD-A280-EE03EA868864}">
      <dgm:prSet phldrT="[Texto]" custT="1"/>
      <dgm:spPr/>
      <dgm:t>
        <a:bodyPr/>
        <a:lstStyle/>
        <a:p>
          <a:r>
            <a:rPr lang="es-ES" sz="2000"/>
            <a:t>Residuo orgánico rico en N</a:t>
          </a:r>
        </a:p>
      </dgm:t>
    </dgm:pt>
    <dgm:pt modelId="{261A399E-A10A-4ED0-879E-2859314AA5F1}" type="parTrans" cxnId="{8DB15164-D8ED-4973-97D3-3C741C82672B}">
      <dgm:prSet/>
      <dgm:spPr/>
      <dgm:t>
        <a:bodyPr/>
        <a:lstStyle/>
        <a:p>
          <a:endParaRPr lang="es-ES"/>
        </a:p>
      </dgm:t>
    </dgm:pt>
    <dgm:pt modelId="{D41D33DE-BDFD-49B5-B8C4-FEE080B1B115}" type="sibTrans" cxnId="{8DB15164-D8ED-4973-97D3-3C741C82672B}">
      <dgm:prSet/>
      <dgm:spPr/>
      <dgm:t>
        <a:bodyPr/>
        <a:lstStyle/>
        <a:p>
          <a:endParaRPr lang="es-ES"/>
        </a:p>
      </dgm:t>
    </dgm:pt>
    <dgm:pt modelId="{23DBD48F-3719-44B4-9C84-1B633B96C7AA}">
      <dgm:prSet phldrT="[Texto]" custT="1"/>
      <dgm:spPr/>
      <dgm:t>
        <a:bodyPr/>
        <a:lstStyle/>
        <a:p>
          <a:r>
            <a:rPr lang="es-ES" sz="2400"/>
            <a:t>Aplicación en campo</a:t>
          </a:r>
        </a:p>
      </dgm:t>
    </dgm:pt>
    <dgm:pt modelId="{41D554F1-1766-4CAD-8DB0-2CBD8E58D491}" type="parTrans" cxnId="{53FEFF9A-0811-4223-A04F-90CEED8B59D6}">
      <dgm:prSet/>
      <dgm:spPr/>
      <dgm:t>
        <a:bodyPr/>
        <a:lstStyle/>
        <a:p>
          <a:endParaRPr lang="es-ES"/>
        </a:p>
      </dgm:t>
    </dgm:pt>
    <dgm:pt modelId="{8A3B7C2A-DBE1-4732-871C-223ABC277DD3}" type="sibTrans" cxnId="{53FEFF9A-0811-4223-A04F-90CEED8B59D6}">
      <dgm:prSet/>
      <dgm:spPr/>
      <dgm:t>
        <a:bodyPr/>
        <a:lstStyle/>
        <a:p>
          <a:endParaRPr lang="es-ES"/>
        </a:p>
      </dgm:t>
    </dgm:pt>
    <dgm:pt modelId="{C7A23B77-C75F-49DA-948B-11A1A366E159}">
      <dgm:prSet phldrT="[Texto]" custT="1"/>
      <dgm:spPr/>
      <dgm:t>
        <a:bodyPr/>
        <a:lstStyle/>
        <a:p>
          <a:r>
            <a:rPr lang="es-ES" sz="2400"/>
            <a:t>Depósito en vertedero</a:t>
          </a:r>
        </a:p>
      </dgm:t>
    </dgm:pt>
    <dgm:pt modelId="{BE4E7394-08D5-4C36-A5F7-42FDB3E319DF}" type="parTrans" cxnId="{7FE71A9A-D582-4732-8F50-87885FCB759E}">
      <dgm:prSet/>
      <dgm:spPr/>
      <dgm:t>
        <a:bodyPr/>
        <a:lstStyle/>
        <a:p>
          <a:endParaRPr lang="es-ES"/>
        </a:p>
      </dgm:t>
    </dgm:pt>
    <dgm:pt modelId="{3D5829E6-AA96-4F08-813D-FE4C59463E49}" type="sibTrans" cxnId="{7FE71A9A-D582-4732-8F50-87885FCB759E}">
      <dgm:prSet/>
      <dgm:spPr/>
      <dgm:t>
        <a:bodyPr/>
        <a:lstStyle/>
        <a:p>
          <a:endParaRPr lang="es-ES"/>
        </a:p>
      </dgm:t>
    </dgm:pt>
    <dgm:pt modelId="{DD485ACF-A754-4D1B-A9AF-1230D71FD4A1}" type="pres">
      <dgm:prSet presAssocID="{8115FDD2-17FE-4614-86AE-84C589787DE9}" presName="diagram" presStyleCnt="0">
        <dgm:presLayoutVars>
          <dgm:chPref val="1"/>
          <dgm:dir/>
          <dgm:animOne val="branch"/>
          <dgm:animLvl val="lvl"/>
          <dgm:resizeHandles val="exact"/>
        </dgm:presLayoutVars>
      </dgm:prSet>
      <dgm:spPr/>
    </dgm:pt>
    <dgm:pt modelId="{CCE8E5BA-5940-4C7F-B574-84357A878B02}" type="pres">
      <dgm:prSet presAssocID="{CD759314-081E-48FD-A280-EE03EA868864}" presName="root1" presStyleCnt="0"/>
      <dgm:spPr/>
    </dgm:pt>
    <dgm:pt modelId="{BD0E22A3-6D59-496E-9BFA-2170187608FD}" type="pres">
      <dgm:prSet presAssocID="{CD759314-081E-48FD-A280-EE03EA868864}" presName="LevelOneTextNode" presStyleLbl="node0" presStyleIdx="0" presStyleCnt="1">
        <dgm:presLayoutVars>
          <dgm:chPref val="3"/>
        </dgm:presLayoutVars>
      </dgm:prSet>
      <dgm:spPr/>
    </dgm:pt>
    <dgm:pt modelId="{DE1A4707-2F3B-490E-957A-F491EDE0F8CC}" type="pres">
      <dgm:prSet presAssocID="{CD759314-081E-48FD-A280-EE03EA868864}" presName="level2hierChild" presStyleCnt="0"/>
      <dgm:spPr/>
    </dgm:pt>
    <dgm:pt modelId="{25DACF27-A92D-4D04-8ADD-3E2B4F924DE7}" type="pres">
      <dgm:prSet presAssocID="{41D554F1-1766-4CAD-8DB0-2CBD8E58D491}" presName="conn2-1" presStyleLbl="parChTrans1D2" presStyleIdx="0" presStyleCnt="2"/>
      <dgm:spPr/>
    </dgm:pt>
    <dgm:pt modelId="{B312BFCA-20A8-4240-A8A3-D075AEC9FEA6}" type="pres">
      <dgm:prSet presAssocID="{41D554F1-1766-4CAD-8DB0-2CBD8E58D491}" presName="connTx" presStyleLbl="parChTrans1D2" presStyleIdx="0" presStyleCnt="2"/>
      <dgm:spPr/>
    </dgm:pt>
    <dgm:pt modelId="{2D185472-6F73-4888-8CE6-0F89FFD8092E}" type="pres">
      <dgm:prSet presAssocID="{23DBD48F-3719-44B4-9C84-1B633B96C7AA}" presName="root2" presStyleCnt="0"/>
      <dgm:spPr/>
    </dgm:pt>
    <dgm:pt modelId="{0F6087E0-4238-407F-92C7-D3D579F918A2}" type="pres">
      <dgm:prSet presAssocID="{23DBD48F-3719-44B4-9C84-1B633B96C7AA}" presName="LevelTwoTextNode" presStyleLbl="node2" presStyleIdx="0" presStyleCnt="2">
        <dgm:presLayoutVars>
          <dgm:chPref val="3"/>
        </dgm:presLayoutVars>
      </dgm:prSet>
      <dgm:spPr/>
    </dgm:pt>
    <dgm:pt modelId="{41518A2C-C128-474A-9AEE-C41F02ACACF7}" type="pres">
      <dgm:prSet presAssocID="{23DBD48F-3719-44B4-9C84-1B633B96C7AA}" presName="level3hierChild" presStyleCnt="0"/>
      <dgm:spPr/>
    </dgm:pt>
    <dgm:pt modelId="{640A514C-31F5-4198-9616-2CE9A3429B27}" type="pres">
      <dgm:prSet presAssocID="{BE4E7394-08D5-4C36-A5F7-42FDB3E319DF}" presName="conn2-1" presStyleLbl="parChTrans1D2" presStyleIdx="1" presStyleCnt="2"/>
      <dgm:spPr/>
    </dgm:pt>
    <dgm:pt modelId="{5F1768E0-90B0-4F2C-BE51-5184941EF0EF}" type="pres">
      <dgm:prSet presAssocID="{BE4E7394-08D5-4C36-A5F7-42FDB3E319DF}" presName="connTx" presStyleLbl="parChTrans1D2" presStyleIdx="1" presStyleCnt="2"/>
      <dgm:spPr/>
    </dgm:pt>
    <dgm:pt modelId="{A8E9585B-9333-4ED5-BA8C-26DFAFC0670C}" type="pres">
      <dgm:prSet presAssocID="{C7A23B77-C75F-49DA-948B-11A1A366E159}" presName="root2" presStyleCnt="0"/>
      <dgm:spPr/>
    </dgm:pt>
    <dgm:pt modelId="{D79918DF-0CD6-4611-AC75-3DAD1FC063C0}" type="pres">
      <dgm:prSet presAssocID="{C7A23B77-C75F-49DA-948B-11A1A366E159}" presName="LevelTwoTextNode" presStyleLbl="node2" presStyleIdx="1" presStyleCnt="2">
        <dgm:presLayoutVars>
          <dgm:chPref val="3"/>
        </dgm:presLayoutVars>
      </dgm:prSet>
      <dgm:spPr/>
    </dgm:pt>
    <dgm:pt modelId="{BED501C7-30C2-4504-9561-8C820664A767}" type="pres">
      <dgm:prSet presAssocID="{C7A23B77-C75F-49DA-948B-11A1A366E159}" presName="level3hierChild" presStyleCnt="0"/>
      <dgm:spPr/>
    </dgm:pt>
  </dgm:ptLst>
  <dgm:cxnLst>
    <dgm:cxn modelId="{0F0F3241-929A-49EB-88D8-5F9DAA78929A}" type="presOf" srcId="{41D554F1-1766-4CAD-8DB0-2CBD8E58D491}" destId="{25DACF27-A92D-4D04-8ADD-3E2B4F924DE7}" srcOrd="0" destOrd="0" presId="urn:microsoft.com/office/officeart/2005/8/layout/hierarchy2"/>
    <dgm:cxn modelId="{17E3E943-32EF-43BE-B15A-CC5EFFC41C7A}" type="presOf" srcId="{CD759314-081E-48FD-A280-EE03EA868864}" destId="{BD0E22A3-6D59-496E-9BFA-2170187608FD}" srcOrd="0" destOrd="0" presId="urn:microsoft.com/office/officeart/2005/8/layout/hierarchy2"/>
    <dgm:cxn modelId="{8DB15164-D8ED-4973-97D3-3C741C82672B}" srcId="{8115FDD2-17FE-4614-86AE-84C589787DE9}" destId="{CD759314-081E-48FD-A280-EE03EA868864}" srcOrd="0" destOrd="0" parTransId="{261A399E-A10A-4ED0-879E-2859314AA5F1}" sibTransId="{D41D33DE-BDFD-49B5-B8C4-FEE080B1B115}"/>
    <dgm:cxn modelId="{FDA91067-4E33-497B-98E0-E7BBDFDE0CBA}" type="presOf" srcId="{BE4E7394-08D5-4C36-A5F7-42FDB3E319DF}" destId="{5F1768E0-90B0-4F2C-BE51-5184941EF0EF}" srcOrd="1" destOrd="0" presId="urn:microsoft.com/office/officeart/2005/8/layout/hierarchy2"/>
    <dgm:cxn modelId="{553AAA4E-8836-48E9-99D8-3A22A7DA3D0B}" type="presOf" srcId="{41D554F1-1766-4CAD-8DB0-2CBD8E58D491}" destId="{B312BFCA-20A8-4240-A8A3-D075AEC9FEA6}" srcOrd="1" destOrd="0" presId="urn:microsoft.com/office/officeart/2005/8/layout/hierarchy2"/>
    <dgm:cxn modelId="{AF621B71-0D89-40B3-A102-1717FF8F40B8}" type="presOf" srcId="{8115FDD2-17FE-4614-86AE-84C589787DE9}" destId="{DD485ACF-A754-4D1B-A9AF-1230D71FD4A1}" srcOrd="0" destOrd="0" presId="urn:microsoft.com/office/officeart/2005/8/layout/hierarchy2"/>
    <dgm:cxn modelId="{66EC9B76-03DE-410C-8062-B490C1A27C7C}" type="presOf" srcId="{23DBD48F-3719-44B4-9C84-1B633B96C7AA}" destId="{0F6087E0-4238-407F-92C7-D3D579F918A2}" srcOrd="0" destOrd="0" presId="urn:microsoft.com/office/officeart/2005/8/layout/hierarchy2"/>
    <dgm:cxn modelId="{FCB9DD88-4185-486D-8051-F4A5A1CD2CD0}" type="presOf" srcId="{C7A23B77-C75F-49DA-948B-11A1A366E159}" destId="{D79918DF-0CD6-4611-AC75-3DAD1FC063C0}" srcOrd="0" destOrd="0" presId="urn:microsoft.com/office/officeart/2005/8/layout/hierarchy2"/>
    <dgm:cxn modelId="{7FE71A9A-D582-4732-8F50-87885FCB759E}" srcId="{CD759314-081E-48FD-A280-EE03EA868864}" destId="{C7A23B77-C75F-49DA-948B-11A1A366E159}" srcOrd="1" destOrd="0" parTransId="{BE4E7394-08D5-4C36-A5F7-42FDB3E319DF}" sibTransId="{3D5829E6-AA96-4F08-813D-FE4C59463E49}"/>
    <dgm:cxn modelId="{53FEFF9A-0811-4223-A04F-90CEED8B59D6}" srcId="{CD759314-081E-48FD-A280-EE03EA868864}" destId="{23DBD48F-3719-44B4-9C84-1B633B96C7AA}" srcOrd="0" destOrd="0" parTransId="{41D554F1-1766-4CAD-8DB0-2CBD8E58D491}" sibTransId="{8A3B7C2A-DBE1-4732-871C-223ABC277DD3}"/>
    <dgm:cxn modelId="{4B34FED8-1357-465B-B51F-72C4AC68D259}" type="presOf" srcId="{BE4E7394-08D5-4C36-A5F7-42FDB3E319DF}" destId="{640A514C-31F5-4198-9616-2CE9A3429B27}" srcOrd="0" destOrd="0" presId="urn:microsoft.com/office/officeart/2005/8/layout/hierarchy2"/>
    <dgm:cxn modelId="{A04FE46B-9CC5-4A95-916A-BE2850315C93}" type="presParOf" srcId="{DD485ACF-A754-4D1B-A9AF-1230D71FD4A1}" destId="{CCE8E5BA-5940-4C7F-B574-84357A878B02}" srcOrd="0" destOrd="0" presId="urn:microsoft.com/office/officeart/2005/8/layout/hierarchy2"/>
    <dgm:cxn modelId="{F7CD7161-332B-4AE1-B452-B30C5016C523}" type="presParOf" srcId="{CCE8E5BA-5940-4C7F-B574-84357A878B02}" destId="{BD0E22A3-6D59-496E-9BFA-2170187608FD}" srcOrd="0" destOrd="0" presId="urn:microsoft.com/office/officeart/2005/8/layout/hierarchy2"/>
    <dgm:cxn modelId="{9C1F57B1-34F0-4F75-AF55-B2F818803D40}" type="presParOf" srcId="{CCE8E5BA-5940-4C7F-B574-84357A878B02}" destId="{DE1A4707-2F3B-490E-957A-F491EDE0F8CC}" srcOrd="1" destOrd="0" presId="urn:microsoft.com/office/officeart/2005/8/layout/hierarchy2"/>
    <dgm:cxn modelId="{49FBCEDD-01F2-4785-B88F-F4280A8BFFA0}" type="presParOf" srcId="{DE1A4707-2F3B-490E-957A-F491EDE0F8CC}" destId="{25DACF27-A92D-4D04-8ADD-3E2B4F924DE7}" srcOrd="0" destOrd="0" presId="urn:microsoft.com/office/officeart/2005/8/layout/hierarchy2"/>
    <dgm:cxn modelId="{1F9C0AA8-941A-4FFD-A169-A31CFC3A9007}" type="presParOf" srcId="{25DACF27-A92D-4D04-8ADD-3E2B4F924DE7}" destId="{B312BFCA-20A8-4240-A8A3-D075AEC9FEA6}" srcOrd="0" destOrd="0" presId="urn:microsoft.com/office/officeart/2005/8/layout/hierarchy2"/>
    <dgm:cxn modelId="{5D497A9D-ACC8-4FCC-992E-2F9D981A0A6F}" type="presParOf" srcId="{DE1A4707-2F3B-490E-957A-F491EDE0F8CC}" destId="{2D185472-6F73-4888-8CE6-0F89FFD8092E}" srcOrd="1" destOrd="0" presId="urn:microsoft.com/office/officeart/2005/8/layout/hierarchy2"/>
    <dgm:cxn modelId="{0E0A5592-61B4-4B9A-A44D-39B6156CA834}" type="presParOf" srcId="{2D185472-6F73-4888-8CE6-0F89FFD8092E}" destId="{0F6087E0-4238-407F-92C7-D3D579F918A2}" srcOrd="0" destOrd="0" presId="urn:microsoft.com/office/officeart/2005/8/layout/hierarchy2"/>
    <dgm:cxn modelId="{B8014DB4-05D0-4A4C-B3F8-51B87DCB3A19}" type="presParOf" srcId="{2D185472-6F73-4888-8CE6-0F89FFD8092E}" destId="{41518A2C-C128-474A-9AEE-C41F02ACACF7}" srcOrd="1" destOrd="0" presId="urn:microsoft.com/office/officeart/2005/8/layout/hierarchy2"/>
    <dgm:cxn modelId="{016C55D7-8A9C-4375-BC80-22D04D9B9DFB}" type="presParOf" srcId="{DE1A4707-2F3B-490E-957A-F491EDE0F8CC}" destId="{640A514C-31F5-4198-9616-2CE9A3429B27}" srcOrd="2" destOrd="0" presId="urn:microsoft.com/office/officeart/2005/8/layout/hierarchy2"/>
    <dgm:cxn modelId="{35E5B785-0E62-45A5-BD29-CA736DC52E66}" type="presParOf" srcId="{640A514C-31F5-4198-9616-2CE9A3429B27}" destId="{5F1768E0-90B0-4F2C-BE51-5184941EF0EF}" srcOrd="0" destOrd="0" presId="urn:microsoft.com/office/officeart/2005/8/layout/hierarchy2"/>
    <dgm:cxn modelId="{91D13BAF-42CB-4603-9F4C-FD83B1088167}" type="presParOf" srcId="{DE1A4707-2F3B-490E-957A-F491EDE0F8CC}" destId="{A8E9585B-9333-4ED5-BA8C-26DFAFC0670C}" srcOrd="3" destOrd="0" presId="urn:microsoft.com/office/officeart/2005/8/layout/hierarchy2"/>
    <dgm:cxn modelId="{3A0FEEF3-11B9-4A90-9B75-EDB2AB8F950D}" type="presParOf" srcId="{A8E9585B-9333-4ED5-BA8C-26DFAFC0670C}" destId="{D79918DF-0CD6-4611-AC75-3DAD1FC063C0}" srcOrd="0" destOrd="0" presId="urn:microsoft.com/office/officeart/2005/8/layout/hierarchy2"/>
    <dgm:cxn modelId="{9BBD3B3C-F866-486B-B377-30006F583AC7}" type="presParOf" srcId="{A8E9585B-9333-4ED5-BA8C-26DFAFC0670C}" destId="{BED501C7-30C2-4504-9561-8C820664A767}"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8115FDD2-17FE-4614-86AE-84C589787DE9}"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s-ES"/>
        </a:p>
      </dgm:t>
    </dgm:pt>
    <dgm:pt modelId="{CD759314-081E-48FD-A280-EE03EA868864}">
      <dgm:prSet phldrT="[Texto]" custT="1"/>
      <dgm:spPr/>
      <dgm:t>
        <a:bodyPr/>
        <a:lstStyle/>
        <a:p>
          <a:r>
            <a:rPr lang="es-ES" sz="2000"/>
            <a:t>Residuo orgánico rico en N</a:t>
          </a:r>
        </a:p>
      </dgm:t>
    </dgm:pt>
    <dgm:pt modelId="{261A399E-A10A-4ED0-879E-2859314AA5F1}" type="parTrans" cxnId="{8DB15164-D8ED-4973-97D3-3C741C82672B}">
      <dgm:prSet/>
      <dgm:spPr/>
      <dgm:t>
        <a:bodyPr/>
        <a:lstStyle/>
        <a:p>
          <a:endParaRPr lang="es-ES"/>
        </a:p>
      </dgm:t>
    </dgm:pt>
    <dgm:pt modelId="{D41D33DE-BDFD-49B5-B8C4-FEE080B1B115}" type="sibTrans" cxnId="{8DB15164-D8ED-4973-97D3-3C741C82672B}">
      <dgm:prSet/>
      <dgm:spPr/>
      <dgm:t>
        <a:bodyPr/>
        <a:lstStyle/>
        <a:p>
          <a:endParaRPr lang="es-ES"/>
        </a:p>
      </dgm:t>
    </dgm:pt>
    <dgm:pt modelId="{23DBD48F-3719-44B4-9C84-1B633B96C7AA}">
      <dgm:prSet phldrT="[Texto]" custT="1"/>
      <dgm:spPr/>
      <dgm:t>
        <a:bodyPr/>
        <a:lstStyle/>
        <a:p>
          <a:r>
            <a:rPr lang="es-ES" sz="2400">
              <a:solidFill>
                <a:srgbClr val="FFFF00"/>
              </a:solidFill>
            </a:rPr>
            <a:t>PROCESO</a:t>
          </a:r>
        </a:p>
      </dgm:t>
    </dgm:pt>
    <dgm:pt modelId="{41D554F1-1766-4CAD-8DB0-2CBD8E58D491}" type="parTrans" cxnId="{53FEFF9A-0811-4223-A04F-90CEED8B59D6}">
      <dgm:prSet/>
      <dgm:spPr/>
      <dgm:t>
        <a:bodyPr/>
        <a:lstStyle/>
        <a:p>
          <a:endParaRPr lang="es-ES"/>
        </a:p>
      </dgm:t>
    </dgm:pt>
    <dgm:pt modelId="{8A3B7C2A-DBE1-4732-871C-223ABC277DD3}" type="sibTrans" cxnId="{53FEFF9A-0811-4223-A04F-90CEED8B59D6}">
      <dgm:prSet/>
      <dgm:spPr/>
      <dgm:t>
        <a:bodyPr/>
        <a:lstStyle/>
        <a:p>
          <a:endParaRPr lang="es-ES"/>
        </a:p>
      </dgm:t>
    </dgm:pt>
    <dgm:pt modelId="{46461E6D-B6F0-4AAE-A3E7-89D1A17677EB}">
      <dgm:prSet phldrT="[Texto]" custT="1"/>
      <dgm:spPr/>
      <dgm:t>
        <a:bodyPr/>
        <a:lstStyle/>
        <a:p>
          <a:r>
            <a:rPr lang="es-ES" sz="2400"/>
            <a:t>Fracción líquida</a:t>
          </a:r>
        </a:p>
      </dgm:t>
    </dgm:pt>
    <dgm:pt modelId="{8A1C025F-08A0-44BA-971E-84788791D315}" type="parTrans" cxnId="{E7F11A41-AA0C-42D1-B82E-CF41A367F40B}">
      <dgm:prSet/>
      <dgm:spPr/>
      <dgm:t>
        <a:bodyPr/>
        <a:lstStyle/>
        <a:p>
          <a:endParaRPr lang="es-ES"/>
        </a:p>
      </dgm:t>
    </dgm:pt>
    <dgm:pt modelId="{16414F1E-E4D4-4F29-905F-2AAFA5F49E65}" type="sibTrans" cxnId="{E7F11A41-AA0C-42D1-B82E-CF41A367F40B}">
      <dgm:prSet/>
      <dgm:spPr/>
      <dgm:t>
        <a:bodyPr/>
        <a:lstStyle/>
        <a:p>
          <a:endParaRPr lang="es-ES"/>
        </a:p>
      </dgm:t>
    </dgm:pt>
    <dgm:pt modelId="{A9C9F5D8-959A-4099-B60D-391E7E2144F0}">
      <dgm:prSet phldrT="[Texto]" custT="1"/>
      <dgm:spPr/>
      <dgm:t>
        <a:bodyPr/>
        <a:lstStyle/>
        <a:p>
          <a:r>
            <a:rPr lang="es-ES" sz="2400"/>
            <a:t>Fracción sólida</a:t>
          </a:r>
        </a:p>
      </dgm:t>
    </dgm:pt>
    <dgm:pt modelId="{72E417C9-A447-44DD-AC54-206988A0A220}" type="parTrans" cxnId="{5BA162BE-201F-4F85-9B26-4188EF42384F}">
      <dgm:prSet/>
      <dgm:spPr/>
      <dgm:t>
        <a:bodyPr/>
        <a:lstStyle/>
        <a:p>
          <a:endParaRPr lang="es-ES"/>
        </a:p>
      </dgm:t>
    </dgm:pt>
    <dgm:pt modelId="{0B875291-1231-4F11-8FA1-3C9D41D1EED8}" type="sibTrans" cxnId="{5BA162BE-201F-4F85-9B26-4188EF42384F}">
      <dgm:prSet/>
      <dgm:spPr/>
      <dgm:t>
        <a:bodyPr/>
        <a:lstStyle/>
        <a:p>
          <a:endParaRPr lang="es-ES"/>
        </a:p>
      </dgm:t>
    </dgm:pt>
    <dgm:pt modelId="{5AC5EF81-6238-41BA-A9E9-94120740B3DC}">
      <dgm:prSet phldrT="[Texto]" custT="1"/>
      <dgm:spPr/>
      <dgm:t>
        <a:bodyPr/>
        <a:lstStyle/>
        <a:p>
          <a:r>
            <a:rPr lang="es-ES" sz="2400"/>
            <a:t>Fracción gaseosa</a:t>
          </a:r>
        </a:p>
      </dgm:t>
    </dgm:pt>
    <dgm:pt modelId="{99780D45-98D9-49A4-8592-CF626898A9A8}" type="parTrans" cxnId="{29FD8AE7-27B1-456E-83E5-C36818729944}">
      <dgm:prSet/>
      <dgm:spPr/>
      <dgm:t>
        <a:bodyPr/>
        <a:lstStyle/>
        <a:p>
          <a:endParaRPr lang="es-ES"/>
        </a:p>
      </dgm:t>
    </dgm:pt>
    <dgm:pt modelId="{9D855D97-C842-42F0-BAB4-386D885A1253}" type="sibTrans" cxnId="{29FD8AE7-27B1-456E-83E5-C36818729944}">
      <dgm:prSet/>
      <dgm:spPr/>
      <dgm:t>
        <a:bodyPr/>
        <a:lstStyle/>
        <a:p>
          <a:endParaRPr lang="es-ES"/>
        </a:p>
      </dgm:t>
    </dgm:pt>
    <dgm:pt modelId="{107D50FF-7CA4-4D6C-B259-7A0F2F12FB00}">
      <dgm:prSet phldrT="[Texto]" custT="1"/>
      <dgm:spPr/>
      <dgm:t>
        <a:bodyPr/>
        <a:lstStyle/>
        <a:p>
          <a:r>
            <a:rPr lang="es-ES" sz="2000"/>
            <a:t>Aplicación en campo</a:t>
          </a:r>
        </a:p>
      </dgm:t>
    </dgm:pt>
    <dgm:pt modelId="{40962C42-6DD3-41D7-A79E-7BF1E93564E9}" type="parTrans" cxnId="{5104E3AE-F778-4A0B-B7D5-8DE5BB04B2DF}">
      <dgm:prSet/>
      <dgm:spPr/>
      <dgm:t>
        <a:bodyPr/>
        <a:lstStyle/>
        <a:p>
          <a:endParaRPr lang="es-ES"/>
        </a:p>
      </dgm:t>
    </dgm:pt>
    <dgm:pt modelId="{52E2EAF2-67A8-4EB6-A3BE-D05910B4D5DE}" type="sibTrans" cxnId="{5104E3AE-F778-4A0B-B7D5-8DE5BB04B2DF}">
      <dgm:prSet/>
      <dgm:spPr/>
      <dgm:t>
        <a:bodyPr/>
        <a:lstStyle/>
        <a:p>
          <a:endParaRPr lang="es-ES"/>
        </a:p>
      </dgm:t>
    </dgm:pt>
    <dgm:pt modelId="{15A7B4C1-8A27-422E-B62E-1758A6C24DB6}">
      <dgm:prSet phldrT="[Texto]" custT="1"/>
      <dgm:spPr/>
      <dgm:t>
        <a:bodyPr/>
        <a:lstStyle/>
        <a:p>
          <a:r>
            <a:rPr lang="es-ES" sz="2000"/>
            <a:t>Aplicación en campo</a:t>
          </a:r>
        </a:p>
      </dgm:t>
    </dgm:pt>
    <dgm:pt modelId="{86C2516A-DBAE-4D4A-8E29-5C33C268DE73}" type="parTrans" cxnId="{0CA7ED51-CB46-4DE0-9E02-6FB7C0954657}">
      <dgm:prSet/>
      <dgm:spPr/>
      <dgm:t>
        <a:bodyPr/>
        <a:lstStyle/>
        <a:p>
          <a:endParaRPr lang="es-ES"/>
        </a:p>
      </dgm:t>
    </dgm:pt>
    <dgm:pt modelId="{7884673C-EFE8-4B39-A1CA-D44203FF6151}" type="sibTrans" cxnId="{0CA7ED51-CB46-4DE0-9E02-6FB7C0954657}">
      <dgm:prSet/>
      <dgm:spPr/>
      <dgm:t>
        <a:bodyPr/>
        <a:lstStyle/>
        <a:p>
          <a:endParaRPr lang="es-ES"/>
        </a:p>
      </dgm:t>
    </dgm:pt>
    <dgm:pt modelId="{1EEA9FDF-06BF-4ADF-9DFA-2FDB5732A2F6}">
      <dgm:prSet phldrT="[Texto]" custT="1"/>
      <dgm:spPr/>
      <dgm:t>
        <a:bodyPr/>
        <a:lstStyle/>
        <a:p>
          <a:r>
            <a:rPr lang="es-ES" sz="2000"/>
            <a:t>Valorización energética</a:t>
          </a:r>
        </a:p>
      </dgm:t>
    </dgm:pt>
    <dgm:pt modelId="{50E05F56-F897-430D-B975-AEED1EF4AEF1}" type="parTrans" cxnId="{344F845F-7AC6-4BAE-B2FC-3C1B95175491}">
      <dgm:prSet/>
      <dgm:spPr/>
      <dgm:t>
        <a:bodyPr/>
        <a:lstStyle/>
        <a:p>
          <a:endParaRPr lang="es-ES"/>
        </a:p>
      </dgm:t>
    </dgm:pt>
    <dgm:pt modelId="{C98A570B-021B-4632-873E-64142074BCBD}" type="sibTrans" cxnId="{344F845F-7AC6-4BAE-B2FC-3C1B95175491}">
      <dgm:prSet/>
      <dgm:spPr/>
      <dgm:t>
        <a:bodyPr/>
        <a:lstStyle/>
        <a:p>
          <a:endParaRPr lang="es-ES"/>
        </a:p>
      </dgm:t>
    </dgm:pt>
    <dgm:pt modelId="{21962D7F-28BD-42D2-99AE-ECEA9240C65F}">
      <dgm:prSet phldrT="[Texto]" custT="1"/>
      <dgm:spPr/>
      <dgm:t>
        <a:bodyPr/>
        <a:lstStyle/>
        <a:p>
          <a:r>
            <a:rPr lang="es-ES" sz="2000"/>
            <a:t>Fugas</a:t>
          </a:r>
        </a:p>
      </dgm:t>
    </dgm:pt>
    <dgm:pt modelId="{F9B3F1CC-23AC-41BA-BCD5-B8B3455BAA08}" type="parTrans" cxnId="{9894D572-8186-4171-AA2D-0B6AF5BA043F}">
      <dgm:prSet/>
      <dgm:spPr/>
      <dgm:t>
        <a:bodyPr/>
        <a:lstStyle/>
        <a:p>
          <a:endParaRPr lang="es-ES"/>
        </a:p>
      </dgm:t>
    </dgm:pt>
    <dgm:pt modelId="{71AEB4DF-36E2-42EB-973C-39FAC50E9F03}" type="sibTrans" cxnId="{9894D572-8186-4171-AA2D-0B6AF5BA043F}">
      <dgm:prSet/>
      <dgm:spPr/>
      <dgm:t>
        <a:bodyPr/>
        <a:lstStyle/>
        <a:p>
          <a:endParaRPr lang="es-ES"/>
        </a:p>
      </dgm:t>
    </dgm:pt>
    <dgm:pt modelId="{F1F8A1D4-5A66-457B-93AF-55955D118989}">
      <dgm:prSet phldrT="[Texto]" custT="1"/>
      <dgm:spPr/>
      <dgm:t>
        <a:bodyPr/>
        <a:lstStyle/>
        <a:p>
          <a:r>
            <a:rPr lang="es-ES" sz="2000"/>
            <a:t>Valorización</a:t>
          </a:r>
        </a:p>
      </dgm:t>
    </dgm:pt>
    <dgm:pt modelId="{B4E632D4-C5A0-4A4B-A082-925CE539E225}" type="parTrans" cxnId="{4889440D-17D1-484F-A63F-E093766C5EEF}">
      <dgm:prSet/>
      <dgm:spPr/>
      <dgm:t>
        <a:bodyPr/>
        <a:lstStyle/>
        <a:p>
          <a:endParaRPr lang="es-ES"/>
        </a:p>
      </dgm:t>
    </dgm:pt>
    <dgm:pt modelId="{92288B22-74BD-4575-8382-F037C79B6756}" type="sibTrans" cxnId="{4889440D-17D1-484F-A63F-E093766C5EEF}">
      <dgm:prSet/>
      <dgm:spPr/>
      <dgm:t>
        <a:bodyPr/>
        <a:lstStyle/>
        <a:p>
          <a:endParaRPr lang="es-ES"/>
        </a:p>
      </dgm:t>
    </dgm:pt>
    <dgm:pt modelId="{DD485ACF-A754-4D1B-A9AF-1230D71FD4A1}" type="pres">
      <dgm:prSet presAssocID="{8115FDD2-17FE-4614-86AE-84C589787DE9}" presName="diagram" presStyleCnt="0">
        <dgm:presLayoutVars>
          <dgm:chPref val="1"/>
          <dgm:dir/>
          <dgm:animOne val="branch"/>
          <dgm:animLvl val="lvl"/>
          <dgm:resizeHandles val="exact"/>
        </dgm:presLayoutVars>
      </dgm:prSet>
      <dgm:spPr/>
    </dgm:pt>
    <dgm:pt modelId="{CCE8E5BA-5940-4C7F-B574-84357A878B02}" type="pres">
      <dgm:prSet presAssocID="{CD759314-081E-48FD-A280-EE03EA868864}" presName="root1" presStyleCnt="0"/>
      <dgm:spPr/>
    </dgm:pt>
    <dgm:pt modelId="{BD0E22A3-6D59-496E-9BFA-2170187608FD}" type="pres">
      <dgm:prSet presAssocID="{CD759314-081E-48FD-A280-EE03EA868864}" presName="LevelOneTextNode" presStyleLbl="node0" presStyleIdx="0" presStyleCnt="1">
        <dgm:presLayoutVars>
          <dgm:chPref val="3"/>
        </dgm:presLayoutVars>
      </dgm:prSet>
      <dgm:spPr/>
    </dgm:pt>
    <dgm:pt modelId="{DE1A4707-2F3B-490E-957A-F491EDE0F8CC}" type="pres">
      <dgm:prSet presAssocID="{CD759314-081E-48FD-A280-EE03EA868864}" presName="level2hierChild" presStyleCnt="0"/>
      <dgm:spPr/>
    </dgm:pt>
    <dgm:pt modelId="{25DACF27-A92D-4D04-8ADD-3E2B4F924DE7}" type="pres">
      <dgm:prSet presAssocID="{41D554F1-1766-4CAD-8DB0-2CBD8E58D491}" presName="conn2-1" presStyleLbl="parChTrans1D2" presStyleIdx="0" presStyleCnt="1"/>
      <dgm:spPr/>
    </dgm:pt>
    <dgm:pt modelId="{B312BFCA-20A8-4240-A8A3-D075AEC9FEA6}" type="pres">
      <dgm:prSet presAssocID="{41D554F1-1766-4CAD-8DB0-2CBD8E58D491}" presName="connTx" presStyleLbl="parChTrans1D2" presStyleIdx="0" presStyleCnt="1"/>
      <dgm:spPr/>
    </dgm:pt>
    <dgm:pt modelId="{2D185472-6F73-4888-8CE6-0F89FFD8092E}" type="pres">
      <dgm:prSet presAssocID="{23DBD48F-3719-44B4-9C84-1B633B96C7AA}" presName="root2" presStyleCnt="0"/>
      <dgm:spPr/>
    </dgm:pt>
    <dgm:pt modelId="{0F6087E0-4238-407F-92C7-D3D579F918A2}" type="pres">
      <dgm:prSet presAssocID="{23DBD48F-3719-44B4-9C84-1B633B96C7AA}" presName="LevelTwoTextNode" presStyleLbl="node2" presStyleIdx="0" presStyleCnt="1">
        <dgm:presLayoutVars>
          <dgm:chPref val="3"/>
        </dgm:presLayoutVars>
      </dgm:prSet>
      <dgm:spPr/>
    </dgm:pt>
    <dgm:pt modelId="{41518A2C-C128-474A-9AEE-C41F02ACACF7}" type="pres">
      <dgm:prSet presAssocID="{23DBD48F-3719-44B4-9C84-1B633B96C7AA}" presName="level3hierChild" presStyleCnt="0"/>
      <dgm:spPr/>
    </dgm:pt>
    <dgm:pt modelId="{C6248B0B-0BCA-4CE7-936A-1836A4ADE9CB}" type="pres">
      <dgm:prSet presAssocID="{8A1C025F-08A0-44BA-971E-84788791D315}" presName="conn2-1" presStyleLbl="parChTrans1D3" presStyleIdx="0" presStyleCnt="3"/>
      <dgm:spPr/>
    </dgm:pt>
    <dgm:pt modelId="{7628C760-79EB-4BCF-A59E-E18321B4FFF3}" type="pres">
      <dgm:prSet presAssocID="{8A1C025F-08A0-44BA-971E-84788791D315}" presName="connTx" presStyleLbl="parChTrans1D3" presStyleIdx="0" presStyleCnt="3"/>
      <dgm:spPr/>
    </dgm:pt>
    <dgm:pt modelId="{22369491-5035-43E5-B94D-C1A1A1C2018C}" type="pres">
      <dgm:prSet presAssocID="{46461E6D-B6F0-4AAE-A3E7-89D1A17677EB}" presName="root2" presStyleCnt="0"/>
      <dgm:spPr/>
    </dgm:pt>
    <dgm:pt modelId="{928551E3-21FD-4C4B-A009-0C2D9ADCA1A9}" type="pres">
      <dgm:prSet presAssocID="{46461E6D-B6F0-4AAE-A3E7-89D1A17677EB}" presName="LevelTwoTextNode" presStyleLbl="node3" presStyleIdx="0" presStyleCnt="3">
        <dgm:presLayoutVars>
          <dgm:chPref val="3"/>
        </dgm:presLayoutVars>
      </dgm:prSet>
      <dgm:spPr/>
    </dgm:pt>
    <dgm:pt modelId="{F9283C1C-362A-43F2-B444-D8FB4F13170D}" type="pres">
      <dgm:prSet presAssocID="{46461E6D-B6F0-4AAE-A3E7-89D1A17677EB}" presName="level3hierChild" presStyleCnt="0"/>
      <dgm:spPr/>
    </dgm:pt>
    <dgm:pt modelId="{AB2BCEFE-BFDD-4277-8F55-F413EF1CCFC0}" type="pres">
      <dgm:prSet presAssocID="{40962C42-6DD3-41D7-A79E-7BF1E93564E9}" presName="conn2-1" presStyleLbl="parChTrans1D4" presStyleIdx="0" presStyleCnt="5"/>
      <dgm:spPr/>
    </dgm:pt>
    <dgm:pt modelId="{E0410FB3-9451-49FA-A51F-24067AFED785}" type="pres">
      <dgm:prSet presAssocID="{40962C42-6DD3-41D7-A79E-7BF1E93564E9}" presName="connTx" presStyleLbl="parChTrans1D4" presStyleIdx="0" presStyleCnt="5"/>
      <dgm:spPr/>
    </dgm:pt>
    <dgm:pt modelId="{92F47A06-AC14-4E3A-98A8-EE8ED864B50B}" type="pres">
      <dgm:prSet presAssocID="{107D50FF-7CA4-4D6C-B259-7A0F2F12FB00}" presName="root2" presStyleCnt="0"/>
      <dgm:spPr/>
    </dgm:pt>
    <dgm:pt modelId="{264412DA-3D97-47BF-9DFD-52C758026E89}" type="pres">
      <dgm:prSet presAssocID="{107D50FF-7CA4-4D6C-B259-7A0F2F12FB00}" presName="LevelTwoTextNode" presStyleLbl="node4" presStyleIdx="0" presStyleCnt="5">
        <dgm:presLayoutVars>
          <dgm:chPref val="3"/>
        </dgm:presLayoutVars>
      </dgm:prSet>
      <dgm:spPr/>
    </dgm:pt>
    <dgm:pt modelId="{EAD8BBA1-8AAA-4282-BA74-59BC3B843D18}" type="pres">
      <dgm:prSet presAssocID="{107D50FF-7CA4-4D6C-B259-7A0F2F12FB00}" presName="level3hierChild" presStyleCnt="0"/>
      <dgm:spPr/>
    </dgm:pt>
    <dgm:pt modelId="{2D864B11-5336-4D1D-93C6-CE617E5809C6}" type="pres">
      <dgm:prSet presAssocID="{72E417C9-A447-44DD-AC54-206988A0A220}" presName="conn2-1" presStyleLbl="parChTrans1D3" presStyleIdx="1" presStyleCnt="3"/>
      <dgm:spPr/>
    </dgm:pt>
    <dgm:pt modelId="{676B1941-62D9-4FA6-A926-DAFCC3AD73C0}" type="pres">
      <dgm:prSet presAssocID="{72E417C9-A447-44DD-AC54-206988A0A220}" presName="connTx" presStyleLbl="parChTrans1D3" presStyleIdx="1" presStyleCnt="3"/>
      <dgm:spPr/>
    </dgm:pt>
    <dgm:pt modelId="{0BBD446F-A309-4F2B-8E63-55AFC75BD2D1}" type="pres">
      <dgm:prSet presAssocID="{A9C9F5D8-959A-4099-B60D-391E7E2144F0}" presName="root2" presStyleCnt="0"/>
      <dgm:spPr/>
    </dgm:pt>
    <dgm:pt modelId="{C95F2A00-5AB1-48C6-AEB7-E7A51AB81008}" type="pres">
      <dgm:prSet presAssocID="{A9C9F5D8-959A-4099-B60D-391E7E2144F0}" presName="LevelTwoTextNode" presStyleLbl="node3" presStyleIdx="1" presStyleCnt="3">
        <dgm:presLayoutVars>
          <dgm:chPref val="3"/>
        </dgm:presLayoutVars>
      </dgm:prSet>
      <dgm:spPr/>
    </dgm:pt>
    <dgm:pt modelId="{CADD3269-3FD8-4F2F-ADBE-CE5C613F7711}" type="pres">
      <dgm:prSet presAssocID="{A9C9F5D8-959A-4099-B60D-391E7E2144F0}" presName="level3hierChild" presStyleCnt="0"/>
      <dgm:spPr/>
    </dgm:pt>
    <dgm:pt modelId="{A010E831-2C1D-42F3-B061-A245E4AF5F6C}" type="pres">
      <dgm:prSet presAssocID="{86C2516A-DBAE-4D4A-8E29-5C33C268DE73}" presName="conn2-1" presStyleLbl="parChTrans1D4" presStyleIdx="1" presStyleCnt="5"/>
      <dgm:spPr/>
    </dgm:pt>
    <dgm:pt modelId="{75B15E8C-DEC2-4DB1-9FEE-C00BD73298B7}" type="pres">
      <dgm:prSet presAssocID="{86C2516A-DBAE-4D4A-8E29-5C33C268DE73}" presName="connTx" presStyleLbl="parChTrans1D4" presStyleIdx="1" presStyleCnt="5"/>
      <dgm:spPr/>
    </dgm:pt>
    <dgm:pt modelId="{530B2D14-4744-4672-A39D-C270672A70EA}" type="pres">
      <dgm:prSet presAssocID="{15A7B4C1-8A27-422E-B62E-1758A6C24DB6}" presName="root2" presStyleCnt="0"/>
      <dgm:spPr/>
    </dgm:pt>
    <dgm:pt modelId="{33B3C3CC-0700-495E-9FEE-A4820BAA9B1C}" type="pres">
      <dgm:prSet presAssocID="{15A7B4C1-8A27-422E-B62E-1758A6C24DB6}" presName="LevelTwoTextNode" presStyleLbl="node4" presStyleIdx="1" presStyleCnt="5">
        <dgm:presLayoutVars>
          <dgm:chPref val="3"/>
        </dgm:presLayoutVars>
      </dgm:prSet>
      <dgm:spPr/>
    </dgm:pt>
    <dgm:pt modelId="{18BEBFA5-5DC9-46EF-BC2F-1EEF8876F938}" type="pres">
      <dgm:prSet presAssocID="{15A7B4C1-8A27-422E-B62E-1758A6C24DB6}" presName="level3hierChild" presStyleCnt="0"/>
      <dgm:spPr/>
    </dgm:pt>
    <dgm:pt modelId="{C209298A-BBAC-42F0-9EAA-1031035FACFE}" type="pres">
      <dgm:prSet presAssocID="{50E05F56-F897-430D-B975-AEED1EF4AEF1}" presName="conn2-1" presStyleLbl="parChTrans1D4" presStyleIdx="2" presStyleCnt="5"/>
      <dgm:spPr/>
    </dgm:pt>
    <dgm:pt modelId="{89149885-0A5F-4DB6-AF00-55600E307144}" type="pres">
      <dgm:prSet presAssocID="{50E05F56-F897-430D-B975-AEED1EF4AEF1}" presName="connTx" presStyleLbl="parChTrans1D4" presStyleIdx="2" presStyleCnt="5"/>
      <dgm:spPr/>
    </dgm:pt>
    <dgm:pt modelId="{0FF67126-F1CE-4BEC-BB50-F9C8BE03C438}" type="pres">
      <dgm:prSet presAssocID="{1EEA9FDF-06BF-4ADF-9DFA-2FDB5732A2F6}" presName="root2" presStyleCnt="0"/>
      <dgm:spPr/>
    </dgm:pt>
    <dgm:pt modelId="{7311788E-1C46-408E-995C-0CBFBE4CD621}" type="pres">
      <dgm:prSet presAssocID="{1EEA9FDF-06BF-4ADF-9DFA-2FDB5732A2F6}" presName="LevelTwoTextNode" presStyleLbl="node4" presStyleIdx="2" presStyleCnt="5">
        <dgm:presLayoutVars>
          <dgm:chPref val="3"/>
        </dgm:presLayoutVars>
      </dgm:prSet>
      <dgm:spPr/>
    </dgm:pt>
    <dgm:pt modelId="{8A9A41DB-C226-48C4-B011-A9D43469CB76}" type="pres">
      <dgm:prSet presAssocID="{1EEA9FDF-06BF-4ADF-9DFA-2FDB5732A2F6}" presName="level3hierChild" presStyleCnt="0"/>
      <dgm:spPr/>
    </dgm:pt>
    <dgm:pt modelId="{E15D74B0-1BD3-4EDD-8C78-9A4C4DE0B3C1}" type="pres">
      <dgm:prSet presAssocID="{99780D45-98D9-49A4-8592-CF626898A9A8}" presName="conn2-1" presStyleLbl="parChTrans1D3" presStyleIdx="2" presStyleCnt="3"/>
      <dgm:spPr/>
    </dgm:pt>
    <dgm:pt modelId="{3C121BD8-7835-4944-AE28-6A847FE6FD35}" type="pres">
      <dgm:prSet presAssocID="{99780D45-98D9-49A4-8592-CF626898A9A8}" presName="connTx" presStyleLbl="parChTrans1D3" presStyleIdx="2" presStyleCnt="3"/>
      <dgm:spPr/>
    </dgm:pt>
    <dgm:pt modelId="{03F43E80-920D-4BA0-A77F-708A3DE7ED48}" type="pres">
      <dgm:prSet presAssocID="{5AC5EF81-6238-41BA-A9E9-94120740B3DC}" presName="root2" presStyleCnt="0"/>
      <dgm:spPr/>
    </dgm:pt>
    <dgm:pt modelId="{09474895-361F-4A91-9048-5F7B08208933}" type="pres">
      <dgm:prSet presAssocID="{5AC5EF81-6238-41BA-A9E9-94120740B3DC}" presName="LevelTwoTextNode" presStyleLbl="node3" presStyleIdx="2" presStyleCnt="3">
        <dgm:presLayoutVars>
          <dgm:chPref val="3"/>
        </dgm:presLayoutVars>
      </dgm:prSet>
      <dgm:spPr/>
    </dgm:pt>
    <dgm:pt modelId="{0CDB0F34-5F87-4860-834A-66625C01A9D5}" type="pres">
      <dgm:prSet presAssocID="{5AC5EF81-6238-41BA-A9E9-94120740B3DC}" presName="level3hierChild" presStyleCnt="0"/>
      <dgm:spPr/>
    </dgm:pt>
    <dgm:pt modelId="{C5CF55B9-7D2A-4939-8DB1-0D213DEB74E5}" type="pres">
      <dgm:prSet presAssocID="{F9B3F1CC-23AC-41BA-BCD5-B8B3455BAA08}" presName="conn2-1" presStyleLbl="parChTrans1D4" presStyleIdx="3" presStyleCnt="5"/>
      <dgm:spPr/>
    </dgm:pt>
    <dgm:pt modelId="{11C6E4C6-838A-4521-AAAD-6484C6667BFA}" type="pres">
      <dgm:prSet presAssocID="{F9B3F1CC-23AC-41BA-BCD5-B8B3455BAA08}" presName="connTx" presStyleLbl="parChTrans1D4" presStyleIdx="3" presStyleCnt="5"/>
      <dgm:spPr/>
    </dgm:pt>
    <dgm:pt modelId="{D83FBCD5-6EA8-4637-922F-D85D1D1A39A1}" type="pres">
      <dgm:prSet presAssocID="{21962D7F-28BD-42D2-99AE-ECEA9240C65F}" presName="root2" presStyleCnt="0"/>
      <dgm:spPr/>
    </dgm:pt>
    <dgm:pt modelId="{ACC32D5A-C1D7-4D4D-A656-839DBB04E3FF}" type="pres">
      <dgm:prSet presAssocID="{21962D7F-28BD-42D2-99AE-ECEA9240C65F}" presName="LevelTwoTextNode" presStyleLbl="node4" presStyleIdx="3" presStyleCnt="5">
        <dgm:presLayoutVars>
          <dgm:chPref val="3"/>
        </dgm:presLayoutVars>
      </dgm:prSet>
      <dgm:spPr/>
    </dgm:pt>
    <dgm:pt modelId="{54E37C02-AA0C-4F75-9956-AAD9A96E584C}" type="pres">
      <dgm:prSet presAssocID="{21962D7F-28BD-42D2-99AE-ECEA9240C65F}" presName="level3hierChild" presStyleCnt="0"/>
      <dgm:spPr/>
    </dgm:pt>
    <dgm:pt modelId="{A2CE4C33-B19A-4BA6-A021-C136E26ECA13}" type="pres">
      <dgm:prSet presAssocID="{B4E632D4-C5A0-4A4B-A082-925CE539E225}" presName="conn2-1" presStyleLbl="parChTrans1D4" presStyleIdx="4" presStyleCnt="5"/>
      <dgm:spPr/>
    </dgm:pt>
    <dgm:pt modelId="{2FC71BDE-C764-4CED-9519-18B8B0537E2E}" type="pres">
      <dgm:prSet presAssocID="{B4E632D4-C5A0-4A4B-A082-925CE539E225}" presName="connTx" presStyleLbl="parChTrans1D4" presStyleIdx="4" presStyleCnt="5"/>
      <dgm:spPr/>
    </dgm:pt>
    <dgm:pt modelId="{DEAF32CA-EB1E-4BDE-BF28-C729B59965B9}" type="pres">
      <dgm:prSet presAssocID="{F1F8A1D4-5A66-457B-93AF-55955D118989}" presName="root2" presStyleCnt="0"/>
      <dgm:spPr/>
    </dgm:pt>
    <dgm:pt modelId="{710A99AB-E396-4E28-A758-3ACB5DE60348}" type="pres">
      <dgm:prSet presAssocID="{F1F8A1D4-5A66-457B-93AF-55955D118989}" presName="LevelTwoTextNode" presStyleLbl="node4" presStyleIdx="4" presStyleCnt="5">
        <dgm:presLayoutVars>
          <dgm:chPref val="3"/>
        </dgm:presLayoutVars>
      </dgm:prSet>
      <dgm:spPr/>
    </dgm:pt>
    <dgm:pt modelId="{46B0714D-C3EE-4F3E-BFBC-62E676422B38}" type="pres">
      <dgm:prSet presAssocID="{F1F8A1D4-5A66-457B-93AF-55955D118989}" presName="level3hierChild" presStyleCnt="0"/>
      <dgm:spPr/>
    </dgm:pt>
  </dgm:ptLst>
  <dgm:cxnLst>
    <dgm:cxn modelId="{AD2AD802-A86A-4235-9A7D-EC94DF88E3E7}" type="presOf" srcId="{B4E632D4-C5A0-4A4B-A082-925CE539E225}" destId="{2FC71BDE-C764-4CED-9519-18B8B0537E2E}" srcOrd="1" destOrd="0" presId="urn:microsoft.com/office/officeart/2005/8/layout/hierarchy2"/>
    <dgm:cxn modelId="{4168E505-CBFB-43FD-8787-20227C4EB23E}" type="presOf" srcId="{86C2516A-DBAE-4D4A-8E29-5C33C268DE73}" destId="{A010E831-2C1D-42F3-B061-A245E4AF5F6C}" srcOrd="0" destOrd="0" presId="urn:microsoft.com/office/officeart/2005/8/layout/hierarchy2"/>
    <dgm:cxn modelId="{4889440D-17D1-484F-A63F-E093766C5EEF}" srcId="{5AC5EF81-6238-41BA-A9E9-94120740B3DC}" destId="{F1F8A1D4-5A66-457B-93AF-55955D118989}" srcOrd="1" destOrd="0" parTransId="{B4E632D4-C5A0-4A4B-A082-925CE539E225}" sibTransId="{92288B22-74BD-4575-8382-F037C79B6756}"/>
    <dgm:cxn modelId="{0B61EC12-5C7A-4EE8-B1D5-F884621B9397}" type="presOf" srcId="{40962C42-6DD3-41D7-A79E-7BF1E93564E9}" destId="{E0410FB3-9451-49FA-A51F-24067AFED785}" srcOrd="1" destOrd="0" presId="urn:microsoft.com/office/officeart/2005/8/layout/hierarchy2"/>
    <dgm:cxn modelId="{97BC9621-FC6B-4157-B4F1-33B71FFDA343}" type="presOf" srcId="{8A1C025F-08A0-44BA-971E-84788791D315}" destId="{C6248B0B-0BCA-4CE7-936A-1836A4ADE9CB}" srcOrd="0" destOrd="0" presId="urn:microsoft.com/office/officeart/2005/8/layout/hierarchy2"/>
    <dgm:cxn modelId="{EDACE032-5D1A-4370-BBED-236A0EEA2618}" type="presOf" srcId="{50E05F56-F897-430D-B975-AEED1EF4AEF1}" destId="{C209298A-BBAC-42F0-9EAA-1031035FACFE}" srcOrd="0" destOrd="0" presId="urn:microsoft.com/office/officeart/2005/8/layout/hierarchy2"/>
    <dgm:cxn modelId="{D01A7E39-C683-4756-83BA-DD9EE8B85F78}" type="presOf" srcId="{50E05F56-F897-430D-B975-AEED1EF4AEF1}" destId="{89149885-0A5F-4DB6-AF00-55600E307144}" srcOrd="1" destOrd="0" presId="urn:microsoft.com/office/officeart/2005/8/layout/hierarchy2"/>
    <dgm:cxn modelId="{974BA23B-84E5-49A6-B7A9-D105B19353A5}" type="presOf" srcId="{41D554F1-1766-4CAD-8DB0-2CBD8E58D491}" destId="{B312BFCA-20A8-4240-A8A3-D075AEC9FEA6}" srcOrd="1" destOrd="0" presId="urn:microsoft.com/office/officeart/2005/8/layout/hierarchy2"/>
    <dgm:cxn modelId="{195B3F3F-B0FE-4194-9E82-E71B3A78CF0E}" type="presOf" srcId="{46461E6D-B6F0-4AAE-A3E7-89D1A17677EB}" destId="{928551E3-21FD-4C4B-A009-0C2D9ADCA1A9}" srcOrd="0" destOrd="0" presId="urn:microsoft.com/office/officeart/2005/8/layout/hierarchy2"/>
    <dgm:cxn modelId="{2982423F-21E6-4D0C-AD1E-69DFE871D258}" type="presOf" srcId="{41D554F1-1766-4CAD-8DB0-2CBD8E58D491}" destId="{25DACF27-A92D-4D04-8ADD-3E2B4F924DE7}" srcOrd="0" destOrd="0" presId="urn:microsoft.com/office/officeart/2005/8/layout/hierarchy2"/>
    <dgm:cxn modelId="{344F845F-7AC6-4BAE-B2FC-3C1B95175491}" srcId="{A9C9F5D8-959A-4099-B60D-391E7E2144F0}" destId="{1EEA9FDF-06BF-4ADF-9DFA-2FDB5732A2F6}" srcOrd="1" destOrd="0" parTransId="{50E05F56-F897-430D-B975-AEED1EF4AEF1}" sibTransId="{C98A570B-021B-4632-873E-64142074BCBD}"/>
    <dgm:cxn modelId="{E7F11A41-AA0C-42D1-B82E-CF41A367F40B}" srcId="{23DBD48F-3719-44B4-9C84-1B633B96C7AA}" destId="{46461E6D-B6F0-4AAE-A3E7-89D1A17677EB}" srcOrd="0" destOrd="0" parTransId="{8A1C025F-08A0-44BA-971E-84788791D315}" sibTransId="{16414F1E-E4D4-4F29-905F-2AAFA5F49E65}"/>
    <dgm:cxn modelId="{54801A43-3391-4661-864C-39A137BE8218}" type="presOf" srcId="{A9C9F5D8-959A-4099-B60D-391E7E2144F0}" destId="{C95F2A00-5AB1-48C6-AEB7-E7A51AB81008}" srcOrd="0" destOrd="0" presId="urn:microsoft.com/office/officeart/2005/8/layout/hierarchy2"/>
    <dgm:cxn modelId="{8DB15164-D8ED-4973-97D3-3C741C82672B}" srcId="{8115FDD2-17FE-4614-86AE-84C589787DE9}" destId="{CD759314-081E-48FD-A280-EE03EA868864}" srcOrd="0" destOrd="0" parTransId="{261A399E-A10A-4ED0-879E-2859314AA5F1}" sibTransId="{D41D33DE-BDFD-49B5-B8C4-FEE080B1B115}"/>
    <dgm:cxn modelId="{8F306E6D-B8B9-4C21-AE75-107A90B899BD}" type="presOf" srcId="{CD759314-081E-48FD-A280-EE03EA868864}" destId="{BD0E22A3-6D59-496E-9BFA-2170187608FD}" srcOrd="0" destOrd="0" presId="urn:microsoft.com/office/officeart/2005/8/layout/hierarchy2"/>
    <dgm:cxn modelId="{F7360E70-A2C1-4E87-9BB5-8F6612D8868B}" type="presOf" srcId="{86C2516A-DBAE-4D4A-8E29-5C33C268DE73}" destId="{75B15E8C-DEC2-4DB1-9FEE-C00BD73298B7}" srcOrd="1" destOrd="0" presId="urn:microsoft.com/office/officeart/2005/8/layout/hierarchy2"/>
    <dgm:cxn modelId="{60BDD850-89A0-454C-A4AE-65585A70AB97}" type="presOf" srcId="{1EEA9FDF-06BF-4ADF-9DFA-2FDB5732A2F6}" destId="{7311788E-1C46-408E-995C-0CBFBE4CD621}" srcOrd="0" destOrd="0" presId="urn:microsoft.com/office/officeart/2005/8/layout/hierarchy2"/>
    <dgm:cxn modelId="{897C7371-8969-4828-963F-5340FB3AE659}" type="presOf" srcId="{23DBD48F-3719-44B4-9C84-1B633B96C7AA}" destId="{0F6087E0-4238-407F-92C7-D3D579F918A2}" srcOrd="0" destOrd="0" presId="urn:microsoft.com/office/officeart/2005/8/layout/hierarchy2"/>
    <dgm:cxn modelId="{0CA7ED51-CB46-4DE0-9E02-6FB7C0954657}" srcId="{A9C9F5D8-959A-4099-B60D-391E7E2144F0}" destId="{15A7B4C1-8A27-422E-B62E-1758A6C24DB6}" srcOrd="0" destOrd="0" parTransId="{86C2516A-DBAE-4D4A-8E29-5C33C268DE73}" sibTransId="{7884673C-EFE8-4B39-A1CA-D44203FF6151}"/>
    <dgm:cxn modelId="{9894D572-8186-4171-AA2D-0B6AF5BA043F}" srcId="{5AC5EF81-6238-41BA-A9E9-94120740B3DC}" destId="{21962D7F-28BD-42D2-99AE-ECEA9240C65F}" srcOrd="0" destOrd="0" parTransId="{F9B3F1CC-23AC-41BA-BCD5-B8B3455BAA08}" sibTransId="{71AEB4DF-36E2-42EB-973C-39FAC50E9F03}"/>
    <dgm:cxn modelId="{F1B55758-124D-4A3B-9108-881ADBE524B8}" type="presOf" srcId="{99780D45-98D9-49A4-8592-CF626898A9A8}" destId="{E15D74B0-1BD3-4EDD-8C78-9A4C4DE0B3C1}" srcOrd="0" destOrd="0" presId="urn:microsoft.com/office/officeart/2005/8/layout/hierarchy2"/>
    <dgm:cxn modelId="{4CECD259-D4AB-46FE-B402-B67B761E12F3}" type="presOf" srcId="{15A7B4C1-8A27-422E-B62E-1758A6C24DB6}" destId="{33B3C3CC-0700-495E-9FEE-A4820BAA9B1C}" srcOrd="0" destOrd="0" presId="urn:microsoft.com/office/officeart/2005/8/layout/hierarchy2"/>
    <dgm:cxn modelId="{210CDF59-F810-4C3F-99F7-6726BE96BE6A}" type="presOf" srcId="{5AC5EF81-6238-41BA-A9E9-94120740B3DC}" destId="{09474895-361F-4A91-9048-5F7B08208933}" srcOrd="0" destOrd="0" presId="urn:microsoft.com/office/officeart/2005/8/layout/hierarchy2"/>
    <dgm:cxn modelId="{18909A7C-0D6F-44BA-BB55-C3D94ED44E82}" type="presOf" srcId="{40962C42-6DD3-41D7-A79E-7BF1E93564E9}" destId="{AB2BCEFE-BFDD-4277-8F55-F413EF1CCFC0}" srcOrd="0" destOrd="0" presId="urn:microsoft.com/office/officeart/2005/8/layout/hierarchy2"/>
    <dgm:cxn modelId="{27082383-8FC1-46A7-9FB7-FC5E85C39D27}" type="presOf" srcId="{72E417C9-A447-44DD-AC54-206988A0A220}" destId="{2D864B11-5336-4D1D-93C6-CE617E5809C6}" srcOrd="0" destOrd="0" presId="urn:microsoft.com/office/officeart/2005/8/layout/hierarchy2"/>
    <dgm:cxn modelId="{4ADB4987-145D-4068-A6BF-3C52669D6923}" type="presOf" srcId="{107D50FF-7CA4-4D6C-B259-7A0F2F12FB00}" destId="{264412DA-3D97-47BF-9DFD-52C758026E89}" srcOrd="0" destOrd="0" presId="urn:microsoft.com/office/officeart/2005/8/layout/hierarchy2"/>
    <dgm:cxn modelId="{53FEFF9A-0811-4223-A04F-90CEED8B59D6}" srcId="{CD759314-081E-48FD-A280-EE03EA868864}" destId="{23DBD48F-3719-44B4-9C84-1B633B96C7AA}" srcOrd="0" destOrd="0" parTransId="{41D554F1-1766-4CAD-8DB0-2CBD8E58D491}" sibTransId="{8A3B7C2A-DBE1-4732-871C-223ABC277DD3}"/>
    <dgm:cxn modelId="{739A67A4-1D49-4A9C-995B-17E1EF910A6B}" type="presOf" srcId="{99780D45-98D9-49A4-8592-CF626898A9A8}" destId="{3C121BD8-7835-4944-AE28-6A847FE6FD35}" srcOrd="1" destOrd="0" presId="urn:microsoft.com/office/officeart/2005/8/layout/hierarchy2"/>
    <dgm:cxn modelId="{228832AA-7297-4732-86CF-839109667BA3}" type="presOf" srcId="{F1F8A1D4-5A66-457B-93AF-55955D118989}" destId="{710A99AB-E396-4E28-A758-3ACB5DE60348}" srcOrd="0" destOrd="0" presId="urn:microsoft.com/office/officeart/2005/8/layout/hierarchy2"/>
    <dgm:cxn modelId="{5104E3AE-F778-4A0B-B7D5-8DE5BB04B2DF}" srcId="{46461E6D-B6F0-4AAE-A3E7-89D1A17677EB}" destId="{107D50FF-7CA4-4D6C-B259-7A0F2F12FB00}" srcOrd="0" destOrd="0" parTransId="{40962C42-6DD3-41D7-A79E-7BF1E93564E9}" sibTransId="{52E2EAF2-67A8-4EB6-A3BE-D05910B4D5DE}"/>
    <dgm:cxn modelId="{7EE1BDAF-ABB7-4717-8FD8-4B3AEA6402F1}" type="presOf" srcId="{8A1C025F-08A0-44BA-971E-84788791D315}" destId="{7628C760-79EB-4BCF-A59E-E18321B4FFF3}" srcOrd="1" destOrd="0" presId="urn:microsoft.com/office/officeart/2005/8/layout/hierarchy2"/>
    <dgm:cxn modelId="{5BA162BE-201F-4F85-9B26-4188EF42384F}" srcId="{23DBD48F-3719-44B4-9C84-1B633B96C7AA}" destId="{A9C9F5D8-959A-4099-B60D-391E7E2144F0}" srcOrd="1" destOrd="0" parTransId="{72E417C9-A447-44DD-AC54-206988A0A220}" sibTransId="{0B875291-1231-4F11-8FA1-3C9D41D1EED8}"/>
    <dgm:cxn modelId="{3820C4C8-9B61-4845-9B46-9E40FBC85340}" type="presOf" srcId="{F9B3F1CC-23AC-41BA-BCD5-B8B3455BAA08}" destId="{C5CF55B9-7D2A-4939-8DB1-0D213DEB74E5}" srcOrd="0" destOrd="0" presId="urn:microsoft.com/office/officeart/2005/8/layout/hierarchy2"/>
    <dgm:cxn modelId="{4066C3D0-4276-4DA5-82A5-485325E56E08}" type="presOf" srcId="{F9B3F1CC-23AC-41BA-BCD5-B8B3455BAA08}" destId="{11C6E4C6-838A-4521-AAAD-6484C6667BFA}" srcOrd="1" destOrd="0" presId="urn:microsoft.com/office/officeart/2005/8/layout/hierarchy2"/>
    <dgm:cxn modelId="{3C8BA4D6-6648-4735-924C-2F4C04C17193}" type="presOf" srcId="{21962D7F-28BD-42D2-99AE-ECEA9240C65F}" destId="{ACC32D5A-C1D7-4D4D-A656-839DBB04E3FF}" srcOrd="0" destOrd="0" presId="urn:microsoft.com/office/officeart/2005/8/layout/hierarchy2"/>
    <dgm:cxn modelId="{A4CA45DA-7D2E-47FC-9F4A-6814D92D3F65}" type="presOf" srcId="{B4E632D4-C5A0-4A4B-A082-925CE539E225}" destId="{A2CE4C33-B19A-4BA6-A021-C136E26ECA13}" srcOrd="0" destOrd="0" presId="urn:microsoft.com/office/officeart/2005/8/layout/hierarchy2"/>
    <dgm:cxn modelId="{B576A8E1-99AB-4BCE-A49D-B34671F62C84}" type="presOf" srcId="{72E417C9-A447-44DD-AC54-206988A0A220}" destId="{676B1941-62D9-4FA6-A926-DAFCC3AD73C0}" srcOrd="1" destOrd="0" presId="urn:microsoft.com/office/officeart/2005/8/layout/hierarchy2"/>
    <dgm:cxn modelId="{29FD8AE7-27B1-456E-83E5-C36818729944}" srcId="{23DBD48F-3719-44B4-9C84-1B633B96C7AA}" destId="{5AC5EF81-6238-41BA-A9E9-94120740B3DC}" srcOrd="2" destOrd="0" parTransId="{99780D45-98D9-49A4-8592-CF626898A9A8}" sibTransId="{9D855D97-C842-42F0-BAB4-386D885A1253}"/>
    <dgm:cxn modelId="{B616C5F9-EC6A-4576-AE0A-1A6D9B6B016B}" type="presOf" srcId="{8115FDD2-17FE-4614-86AE-84C589787DE9}" destId="{DD485ACF-A754-4D1B-A9AF-1230D71FD4A1}" srcOrd="0" destOrd="0" presId="urn:microsoft.com/office/officeart/2005/8/layout/hierarchy2"/>
    <dgm:cxn modelId="{9C7D39FE-4A52-4B34-80C6-A9119BE726DF}" type="presParOf" srcId="{DD485ACF-A754-4D1B-A9AF-1230D71FD4A1}" destId="{CCE8E5BA-5940-4C7F-B574-84357A878B02}" srcOrd="0" destOrd="0" presId="urn:microsoft.com/office/officeart/2005/8/layout/hierarchy2"/>
    <dgm:cxn modelId="{11647080-513C-4D12-B5A8-402C82A17505}" type="presParOf" srcId="{CCE8E5BA-5940-4C7F-B574-84357A878B02}" destId="{BD0E22A3-6D59-496E-9BFA-2170187608FD}" srcOrd="0" destOrd="0" presId="urn:microsoft.com/office/officeart/2005/8/layout/hierarchy2"/>
    <dgm:cxn modelId="{0EA17D5F-0281-45CA-A20A-90F95CF26298}" type="presParOf" srcId="{CCE8E5BA-5940-4C7F-B574-84357A878B02}" destId="{DE1A4707-2F3B-490E-957A-F491EDE0F8CC}" srcOrd="1" destOrd="0" presId="urn:microsoft.com/office/officeart/2005/8/layout/hierarchy2"/>
    <dgm:cxn modelId="{78A25D8F-DF39-495C-A7EC-C3B1208DE8D5}" type="presParOf" srcId="{DE1A4707-2F3B-490E-957A-F491EDE0F8CC}" destId="{25DACF27-A92D-4D04-8ADD-3E2B4F924DE7}" srcOrd="0" destOrd="0" presId="urn:microsoft.com/office/officeart/2005/8/layout/hierarchy2"/>
    <dgm:cxn modelId="{5B75955A-042E-4E2C-8791-B57584B960E2}" type="presParOf" srcId="{25DACF27-A92D-4D04-8ADD-3E2B4F924DE7}" destId="{B312BFCA-20A8-4240-A8A3-D075AEC9FEA6}" srcOrd="0" destOrd="0" presId="urn:microsoft.com/office/officeart/2005/8/layout/hierarchy2"/>
    <dgm:cxn modelId="{E82D87FA-F0FB-4D4A-9760-BA3908F7655A}" type="presParOf" srcId="{DE1A4707-2F3B-490E-957A-F491EDE0F8CC}" destId="{2D185472-6F73-4888-8CE6-0F89FFD8092E}" srcOrd="1" destOrd="0" presId="urn:microsoft.com/office/officeart/2005/8/layout/hierarchy2"/>
    <dgm:cxn modelId="{8ACBD08A-56D7-4386-A238-A0AA205C213B}" type="presParOf" srcId="{2D185472-6F73-4888-8CE6-0F89FFD8092E}" destId="{0F6087E0-4238-407F-92C7-D3D579F918A2}" srcOrd="0" destOrd="0" presId="urn:microsoft.com/office/officeart/2005/8/layout/hierarchy2"/>
    <dgm:cxn modelId="{9DFFD0FA-57B2-4002-A8D2-BD5A479B8E1E}" type="presParOf" srcId="{2D185472-6F73-4888-8CE6-0F89FFD8092E}" destId="{41518A2C-C128-474A-9AEE-C41F02ACACF7}" srcOrd="1" destOrd="0" presId="urn:microsoft.com/office/officeart/2005/8/layout/hierarchy2"/>
    <dgm:cxn modelId="{71089D2F-1E3C-4BF5-82ED-6AE0C2CDE495}" type="presParOf" srcId="{41518A2C-C128-474A-9AEE-C41F02ACACF7}" destId="{C6248B0B-0BCA-4CE7-936A-1836A4ADE9CB}" srcOrd="0" destOrd="0" presId="urn:microsoft.com/office/officeart/2005/8/layout/hierarchy2"/>
    <dgm:cxn modelId="{DD374164-72F5-46C9-A3C5-9B794ADBB066}" type="presParOf" srcId="{C6248B0B-0BCA-4CE7-936A-1836A4ADE9CB}" destId="{7628C760-79EB-4BCF-A59E-E18321B4FFF3}" srcOrd="0" destOrd="0" presId="urn:microsoft.com/office/officeart/2005/8/layout/hierarchy2"/>
    <dgm:cxn modelId="{B68DEEE6-6128-4602-A8D7-ABFC5EE42592}" type="presParOf" srcId="{41518A2C-C128-474A-9AEE-C41F02ACACF7}" destId="{22369491-5035-43E5-B94D-C1A1A1C2018C}" srcOrd="1" destOrd="0" presId="urn:microsoft.com/office/officeart/2005/8/layout/hierarchy2"/>
    <dgm:cxn modelId="{7306CE40-C514-426D-AB91-20B447FCC605}" type="presParOf" srcId="{22369491-5035-43E5-B94D-C1A1A1C2018C}" destId="{928551E3-21FD-4C4B-A009-0C2D9ADCA1A9}" srcOrd="0" destOrd="0" presId="urn:microsoft.com/office/officeart/2005/8/layout/hierarchy2"/>
    <dgm:cxn modelId="{6E2EF441-523A-4875-8D32-F8BE8D5444FB}" type="presParOf" srcId="{22369491-5035-43E5-B94D-C1A1A1C2018C}" destId="{F9283C1C-362A-43F2-B444-D8FB4F13170D}" srcOrd="1" destOrd="0" presId="urn:microsoft.com/office/officeart/2005/8/layout/hierarchy2"/>
    <dgm:cxn modelId="{0A87C82B-0061-4E1D-9A72-5BFC749436E3}" type="presParOf" srcId="{F9283C1C-362A-43F2-B444-D8FB4F13170D}" destId="{AB2BCEFE-BFDD-4277-8F55-F413EF1CCFC0}" srcOrd="0" destOrd="0" presId="urn:microsoft.com/office/officeart/2005/8/layout/hierarchy2"/>
    <dgm:cxn modelId="{99CB6FB2-DB19-413E-A5A0-2030AAD0D7D9}" type="presParOf" srcId="{AB2BCEFE-BFDD-4277-8F55-F413EF1CCFC0}" destId="{E0410FB3-9451-49FA-A51F-24067AFED785}" srcOrd="0" destOrd="0" presId="urn:microsoft.com/office/officeart/2005/8/layout/hierarchy2"/>
    <dgm:cxn modelId="{785F6855-3B6A-40E3-AF1B-EE372EE4594C}" type="presParOf" srcId="{F9283C1C-362A-43F2-B444-D8FB4F13170D}" destId="{92F47A06-AC14-4E3A-98A8-EE8ED864B50B}" srcOrd="1" destOrd="0" presId="urn:microsoft.com/office/officeart/2005/8/layout/hierarchy2"/>
    <dgm:cxn modelId="{3F7C05D0-0DF0-41F2-A14B-992E8420F7AF}" type="presParOf" srcId="{92F47A06-AC14-4E3A-98A8-EE8ED864B50B}" destId="{264412DA-3D97-47BF-9DFD-52C758026E89}" srcOrd="0" destOrd="0" presId="urn:microsoft.com/office/officeart/2005/8/layout/hierarchy2"/>
    <dgm:cxn modelId="{FB509B01-B232-4698-B56D-5215E6D54F3F}" type="presParOf" srcId="{92F47A06-AC14-4E3A-98A8-EE8ED864B50B}" destId="{EAD8BBA1-8AAA-4282-BA74-59BC3B843D18}" srcOrd="1" destOrd="0" presId="urn:microsoft.com/office/officeart/2005/8/layout/hierarchy2"/>
    <dgm:cxn modelId="{36E13D2D-1B9D-404A-B855-DFE84C80BB6F}" type="presParOf" srcId="{41518A2C-C128-474A-9AEE-C41F02ACACF7}" destId="{2D864B11-5336-4D1D-93C6-CE617E5809C6}" srcOrd="2" destOrd="0" presId="urn:microsoft.com/office/officeart/2005/8/layout/hierarchy2"/>
    <dgm:cxn modelId="{6A11C1E1-37F3-4FB2-B03E-34116C94E6D0}" type="presParOf" srcId="{2D864B11-5336-4D1D-93C6-CE617E5809C6}" destId="{676B1941-62D9-4FA6-A926-DAFCC3AD73C0}" srcOrd="0" destOrd="0" presId="urn:microsoft.com/office/officeart/2005/8/layout/hierarchy2"/>
    <dgm:cxn modelId="{FEAC7117-E996-4A83-9470-D341D0289BF3}" type="presParOf" srcId="{41518A2C-C128-474A-9AEE-C41F02ACACF7}" destId="{0BBD446F-A309-4F2B-8E63-55AFC75BD2D1}" srcOrd="3" destOrd="0" presId="urn:microsoft.com/office/officeart/2005/8/layout/hierarchy2"/>
    <dgm:cxn modelId="{0933370A-8154-4DA0-A95B-42F9CF068074}" type="presParOf" srcId="{0BBD446F-A309-4F2B-8E63-55AFC75BD2D1}" destId="{C95F2A00-5AB1-48C6-AEB7-E7A51AB81008}" srcOrd="0" destOrd="0" presId="urn:microsoft.com/office/officeart/2005/8/layout/hierarchy2"/>
    <dgm:cxn modelId="{687163DD-F7CA-41CC-AAFA-DAE1C01FA717}" type="presParOf" srcId="{0BBD446F-A309-4F2B-8E63-55AFC75BD2D1}" destId="{CADD3269-3FD8-4F2F-ADBE-CE5C613F7711}" srcOrd="1" destOrd="0" presId="urn:microsoft.com/office/officeart/2005/8/layout/hierarchy2"/>
    <dgm:cxn modelId="{1C21E64A-F6B1-4BC4-8EE2-C6987D887E4D}" type="presParOf" srcId="{CADD3269-3FD8-4F2F-ADBE-CE5C613F7711}" destId="{A010E831-2C1D-42F3-B061-A245E4AF5F6C}" srcOrd="0" destOrd="0" presId="urn:microsoft.com/office/officeart/2005/8/layout/hierarchy2"/>
    <dgm:cxn modelId="{B16396F8-18F9-4538-9AEB-0DD0117516FB}" type="presParOf" srcId="{A010E831-2C1D-42F3-B061-A245E4AF5F6C}" destId="{75B15E8C-DEC2-4DB1-9FEE-C00BD73298B7}" srcOrd="0" destOrd="0" presId="urn:microsoft.com/office/officeart/2005/8/layout/hierarchy2"/>
    <dgm:cxn modelId="{1D804E48-CE9B-4ABC-9886-0E7598CF2F24}" type="presParOf" srcId="{CADD3269-3FD8-4F2F-ADBE-CE5C613F7711}" destId="{530B2D14-4744-4672-A39D-C270672A70EA}" srcOrd="1" destOrd="0" presId="urn:microsoft.com/office/officeart/2005/8/layout/hierarchy2"/>
    <dgm:cxn modelId="{05B215BC-AF39-45B2-AF73-9194521506BD}" type="presParOf" srcId="{530B2D14-4744-4672-A39D-C270672A70EA}" destId="{33B3C3CC-0700-495E-9FEE-A4820BAA9B1C}" srcOrd="0" destOrd="0" presId="urn:microsoft.com/office/officeart/2005/8/layout/hierarchy2"/>
    <dgm:cxn modelId="{D23D9619-01D5-400E-9F6A-9828AE74E7A3}" type="presParOf" srcId="{530B2D14-4744-4672-A39D-C270672A70EA}" destId="{18BEBFA5-5DC9-46EF-BC2F-1EEF8876F938}" srcOrd="1" destOrd="0" presId="urn:microsoft.com/office/officeart/2005/8/layout/hierarchy2"/>
    <dgm:cxn modelId="{A4640E6E-1252-40E0-8BE6-3F461236E159}" type="presParOf" srcId="{CADD3269-3FD8-4F2F-ADBE-CE5C613F7711}" destId="{C209298A-BBAC-42F0-9EAA-1031035FACFE}" srcOrd="2" destOrd="0" presId="urn:microsoft.com/office/officeart/2005/8/layout/hierarchy2"/>
    <dgm:cxn modelId="{4021E230-1152-4886-9861-9A428F23E555}" type="presParOf" srcId="{C209298A-BBAC-42F0-9EAA-1031035FACFE}" destId="{89149885-0A5F-4DB6-AF00-55600E307144}" srcOrd="0" destOrd="0" presId="urn:microsoft.com/office/officeart/2005/8/layout/hierarchy2"/>
    <dgm:cxn modelId="{8ACE98B9-3969-46BD-8797-7D6BA884CFE8}" type="presParOf" srcId="{CADD3269-3FD8-4F2F-ADBE-CE5C613F7711}" destId="{0FF67126-F1CE-4BEC-BB50-F9C8BE03C438}" srcOrd="3" destOrd="0" presId="urn:microsoft.com/office/officeart/2005/8/layout/hierarchy2"/>
    <dgm:cxn modelId="{B8E32D91-E9BB-4F20-89AA-A5D0B256A75A}" type="presParOf" srcId="{0FF67126-F1CE-4BEC-BB50-F9C8BE03C438}" destId="{7311788E-1C46-408E-995C-0CBFBE4CD621}" srcOrd="0" destOrd="0" presId="urn:microsoft.com/office/officeart/2005/8/layout/hierarchy2"/>
    <dgm:cxn modelId="{1897C077-6A17-44D7-B2DA-CAF8D28EA11B}" type="presParOf" srcId="{0FF67126-F1CE-4BEC-BB50-F9C8BE03C438}" destId="{8A9A41DB-C226-48C4-B011-A9D43469CB76}" srcOrd="1" destOrd="0" presId="urn:microsoft.com/office/officeart/2005/8/layout/hierarchy2"/>
    <dgm:cxn modelId="{6C059356-5D6D-4D2C-B533-EE845512305E}" type="presParOf" srcId="{41518A2C-C128-474A-9AEE-C41F02ACACF7}" destId="{E15D74B0-1BD3-4EDD-8C78-9A4C4DE0B3C1}" srcOrd="4" destOrd="0" presId="urn:microsoft.com/office/officeart/2005/8/layout/hierarchy2"/>
    <dgm:cxn modelId="{71976F6C-6CA5-4C10-BA46-4A1C2E8AB8F6}" type="presParOf" srcId="{E15D74B0-1BD3-4EDD-8C78-9A4C4DE0B3C1}" destId="{3C121BD8-7835-4944-AE28-6A847FE6FD35}" srcOrd="0" destOrd="0" presId="urn:microsoft.com/office/officeart/2005/8/layout/hierarchy2"/>
    <dgm:cxn modelId="{24C30686-F682-4203-A98E-F4E1519C6F15}" type="presParOf" srcId="{41518A2C-C128-474A-9AEE-C41F02ACACF7}" destId="{03F43E80-920D-4BA0-A77F-708A3DE7ED48}" srcOrd="5" destOrd="0" presId="urn:microsoft.com/office/officeart/2005/8/layout/hierarchy2"/>
    <dgm:cxn modelId="{B6B0C375-3A2E-4122-8140-7CFB80A8161C}" type="presParOf" srcId="{03F43E80-920D-4BA0-A77F-708A3DE7ED48}" destId="{09474895-361F-4A91-9048-5F7B08208933}" srcOrd="0" destOrd="0" presId="urn:microsoft.com/office/officeart/2005/8/layout/hierarchy2"/>
    <dgm:cxn modelId="{6E25F9FF-D320-4126-AD56-3A1384F0444A}" type="presParOf" srcId="{03F43E80-920D-4BA0-A77F-708A3DE7ED48}" destId="{0CDB0F34-5F87-4860-834A-66625C01A9D5}" srcOrd="1" destOrd="0" presId="urn:microsoft.com/office/officeart/2005/8/layout/hierarchy2"/>
    <dgm:cxn modelId="{87106EA6-7CA7-428A-9C65-99513342DC3D}" type="presParOf" srcId="{0CDB0F34-5F87-4860-834A-66625C01A9D5}" destId="{C5CF55B9-7D2A-4939-8DB1-0D213DEB74E5}" srcOrd="0" destOrd="0" presId="urn:microsoft.com/office/officeart/2005/8/layout/hierarchy2"/>
    <dgm:cxn modelId="{75194ECB-06A2-4EE4-8BE3-A6759EFC03B2}" type="presParOf" srcId="{C5CF55B9-7D2A-4939-8DB1-0D213DEB74E5}" destId="{11C6E4C6-838A-4521-AAAD-6484C6667BFA}" srcOrd="0" destOrd="0" presId="urn:microsoft.com/office/officeart/2005/8/layout/hierarchy2"/>
    <dgm:cxn modelId="{0546E189-A237-4B82-A477-50398E5920EC}" type="presParOf" srcId="{0CDB0F34-5F87-4860-834A-66625C01A9D5}" destId="{D83FBCD5-6EA8-4637-922F-D85D1D1A39A1}" srcOrd="1" destOrd="0" presId="urn:microsoft.com/office/officeart/2005/8/layout/hierarchy2"/>
    <dgm:cxn modelId="{B86B792B-7D0B-4646-8D07-C1D2BF599ABD}" type="presParOf" srcId="{D83FBCD5-6EA8-4637-922F-D85D1D1A39A1}" destId="{ACC32D5A-C1D7-4D4D-A656-839DBB04E3FF}" srcOrd="0" destOrd="0" presId="urn:microsoft.com/office/officeart/2005/8/layout/hierarchy2"/>
    <dgm:cxn modelId="{C4D50577-17B4-414B-8DBA-8383E1CF81A4}" type="presParOf" srcId="{D83FBCD5-6EA8-4637-922F-D85D1D1A39A1}" destId="{54E37C02-AA0C-4F75-9956-AAD9A96E584C}" srcOrd="1" destOrd="0" presId="urn:microsoft.com/office/officeart/2005/8/layout/hierarchy2"/>
    <dgm:cxn modelId="{26463DBE-9CDC-4B04-B68D-DCC3B2435338}" type="presParOf" srcId="{0CDB0F34-5F87-4860-834A-66625C01A9D5}" destId="{A2CE4C33-B19A-4BA6-A021-C136E26ECA13}" srcOrd="2" destOrd="0" presId="urn:microsoft.com/office/officeart/2005/8/layout/hierarchy2"/>
    <dgm:cxn modelId="{A617CC17-9026-4684-9C3F-AAD1946D9750}" type="presParOf" srcId="{A2CE4C33-B19A-4BA6-A021-C136E26ECA13}" destId="{2FC71BDE-C764-4CED-9519-18B8B0537E2E}" srcOrd="0" destOrd="0" presId="urn:microsoft.com/office/officeart/2005/8/layout/hierarchy2"/>
    <dgm:cxn modelId="{DAA2B309-975D-444E-BDA2-350B9378288E}" type="presParOf" srcId="{0CDB0F34-5F87-4860-834A-66625C01A9D5}" destId="{DEAF32CA-EB1E-4BDE-BF28-C729B59965B9}" srcOrd="3" destOrd="0" presId="urn:microsoft.com/office/officeart/2005/8/layout/hierarchy2"/>
    <dgm:cxn modelId="{84E3BABA-680D-4DAD-A6A9-768D22569CC2}" type="presParOf" srcId="{DEAF32CA-EB1E-4BDE-BF28-C729B59965B9}" destId="{710A99AB-E396-4E28-A758-3ACB5DE60348}" srcOrd="0" destOrd="0" presId="urn:microsoft.com/office/officeart/2005/8/layout/hierarchy2"/>
    <dgm:cxn modelId="{8B59D12E-E621-4784-8642-7CB9B9BB46AD}" type="presParOf" srcId="{DEAF32CA-EB1E-4BDE-BF28-C729B59965B9}" destId="{46B0714D-C3EE-4F3E-BFBC-62E676422B38}" srcOrd="1" destOrd="0" presId="urn:microsoft.com/office/officeart/2005/8/layout/hierarchy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D0E22A3-6D59-496E-9BFA-2170187608FD}">
      <dsp:nvSpPr>
        <dsp:cNvPr id="0" name=""/>
        <dsp:cNvSpPr/>
      </dsp:nvSpPr>
      <dsp:spPr>
        <a:xfrm>
          <a:off x="439329" y="487210"/>
          <a:ext cx="1689704" cy="84485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s-ES" sz="2000" kern="1200"/>
            <a:t>Residuo orgánico rico en N</a:t>
          </a:r>
        </a:p>
      </dsp:txBody>
      <dsp:txXfrm>
        <a:off x="464074" y="511955"/>
        <a:ext cx="1640214" cy="795362"/>
      </dsp:txXfrm>
    </dsp:sp>
    <dsp:sp modelId="{25DACF27-A92D-4D04-8ADD-3E2B4F924DE7}">
      <dsp:nvSpPr>
        <dsp:cNvPr id="0" name=""/>
        <dsp:cNvSpPr/>
      </dsp:nvSpPr>
      <dsp:spPr>
        <a:xfrm rot="19457599">
          <a:off x="2050798" y="624946"/>
          <a:ext cx="832351" cy="83590"/>
        </a:xfrm>
        <a:custGeom>
          <a:avLst/>
          <a:gdLst/>
          <a:ahLst/>
          <a:cxnLst/>
          <a:rect l="0" t="0" r="0" b="0"/>
          <a:pathLst>
            <a:path>
              <a:moveTo>
                <a:pt x="0" y="41795"/>
              </a:moveTo>
              <a:lnTo>
                <a:pt x="832351" y="4179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ES" sz="500" kern="1200"/>
        </a:p>
      </dsp:txBody>
      <dsp:txXfrm>
        <a:off x="2446165" y="645933"/>
        <a:ext cx="41617" cy="41617"/>
      </dsp:txXfrm>
    </dsp:sp>
    <dsp:sp modelId="{0F6087E0-4238-407F-92C7-D3D579F918A2}">
      <dsp:nvSpPr>
        <dsp:cNvPr id="0" name=""/>
        <dsp:cNvSpPr/>
      </dsp:nvSpPr>
      <dsp:spPr>
        <a:xfrm>
          <a:off x="2804915" y="1420"/>
          <a:ext cx="1689704" cy="84485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1066800">
            <a:lnSpc>
              <a:spcPct val="90000"/>
            </a:lnSpc>
            <a:spcBef>
              <a:spcPct val="0"/>
            </a:spcBef>
            <a:spcAft>
              <a:spcPct val="35000"/>
            </a:spcAft>
            <a:buNone/>
          </a:pPr>
          <a:r>
            <a:rPr lang="es-ES" sz="2400" kern="1200"/>
            <a:t>Aplicación en campo</a:t>
          </a:r>
        </a:p>
      </dsp:txBody>
      <dsp:txXfrm>
        <a:off x="2829660" y="26165"/>
        <a:ext cx="1640214" cy="795362"/>
      </dsp:txXfrm>
    </dsp:sp>
    <dsp:sp modelId="{640A514C-31F5-4198-9616-2CE9A3429B27}">
      <dsp:nvSpPr>
        <dsp:cNvPr id="0" name=""/>
        <dsp:cNvSpPr/>
      </dsp:nvSpPr>
      <dsp:spPr>
        <a:xfrm rot="2142401">
          <a:off x="2050798" y="1110736"/>
          <a:ext cx="832351" cy="83590"/>
        </a:xfrm>
        <a:custGeom>
          <a:avLst/>
          <a:gdLst/>
          <a:ahLst/>
          <a:cxnLst/>
          <a:rect l="0" t="0" r="0" b="0"/>
          <a:pathLst>
            <a:path>
              <a:moveTo>
                <a:pt x="0" y="41795"/>
              </a:moveTo>
              <a:lnTo>
                <a:pt x="832351" y="4179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ES" sz="500" kern="1200"/>
        </a:p>
      </dsp:txBody>
      <dsp:txXfrm>
        <a:off x="2446165" y="1131723"/>
        <a:ext cx="41617" cy="41617"/>
      </dsp:txXfrm>
    </dsp:sp>
    <dsp:sp modelId="{D79918DF-0CD6-4611-AC75-3DAD1FC063C0}">
      <dsp:nvSpPr>
        <dsp:cNvPr id="0" name=""/>
        <dsp:cNvSpPr/>
      </dsp:nvSpPr>
      <dsp:spPr>
        <a:xfrm>
          <a:off x="2804915" y="973000"/>
          <a:ext cx="1689704" cy="84485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1066800">
            <a:lnSpc>
              <a:spcPct val="90000"/>
            </a:lnSpc>
            <a:spcBef>
              <a:spcPct val="0"/>
            </a:spcBef>
            <a:spcAft>
              <a:spcPct val="35000"/>
            </a:spcAft>
            <a:buNone/>
          </a:pPr>
          <a:r>
            <a:rPr lang="es-ES" sz="2400" kern="1200"/>
            <a:t>Depósito en vertedero</a:t>
          </a:r>
        </a:p>
      </dsp:txBody>
      <dsp:txXfrm>
        <a:off x="2829660" y="997745"/>
        <a:ext cx="1640214" cy="79536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D0E22A3-6D59-496E-9BFA-2170187608FD}">
      <dsp:nvSpPr>
        <dsp:cNvPr id="0" name=""/>
        <dsp:cNvSpPr/>
      </dsp:nvSpPr>
      <dsp:spPr>
        <a:xfrm>
          <a:off x="1257627" y="1599540"/>
          <a:ext cx="1586152" cy="79307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s-ES" sz="2000" kern="1200"/>
            <a:t>Residuo orgánico rico en N</a:t>
          </a:r>
        </a:p>
      </dsp:txBody>
      <dsp:txXfrm>
        <a:off x="1280855" y="1622768"/>
        <a:ext cx="1539696" cy="746620"/>
      </dsp:txXfrm>
    </dsp:sp>
    <dsp:sp modelId="{25DACF27-A92D-4D04-8ADD-3E2B4F924DE7}">
      <dsp:nvSpPr>
        <dsp:cNvPr id="0" name=""/>
        <dsp:cNvSpPr/>
      </dsp:nvSpPr>
      <dsp:spPr>
        <a:xfrm>
          <a:off x="2843780" y="1980032"/>
          <a:ext cx="634461" cy="32092"/>
        </a:xfrm>
        <a:custGeom>
          <a:avLst/>
          <a:gdLst/>
          <a:ahLst/>
          <a:cxnLst/>
          <a:rect l="0" t="0" r="0" b="0"/>
          <a:pathLst>
            <a:path>
              <a:moveTo>
                <a:pt x="0" y="16046"/>
              </a:moveTo>
              <a:lnTo>
                <a:pt x="634461" y="16046"/>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ES" sz="500" kern="1200"/>
        </a:p>
      </dsp:txBody>
      <dsp:txXfrm>
        <a:off x="3145149" y="1980216"/>
        <a:ext cx="31723" cy="31723"/>
      </dsp:txXfrm>
    </dsp:sp>
    <dsp:sp modelId="{0F6087E0-4238-407F-92C7-D3D579F918A2}">
      <dsp:nvSpPr>
        <dsp:cNvPr id="0" name=""/>
        <dsp:cNvSpPr/>
      </dsp:nvSpPr>
      <dsp:spPr>
        <a:xfrm>
          <a:off x="3478241" y="1599540"/>
          <a:ext cx="1586152" cy="79307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1066800">
            <a:lnSpc>
              <a:spcPct val="90000"/>
            </a:lnSpc>
            <a:spcBef>
              <a:spcPct val="0"/>
            </a:spcBef>
            <a:spcAft>
              <a:spcPct val="35000"/>
            </a:spcAft>
            <a:buNone/>
          </a:pPr>
          <a:r>
            <a:rPr lang="es-ES" sz="2400" kern="1200">
              <a:solidFill>
                <a:srgbClr val="FFFF00"/>
              </a:solidFill>
            </a:rPr>
            <a:t>PROCESO</a:t>
          </a:r>
        </a:p>
      </dsp:txBody>
      <dsp:txXfrm>
        <a:off x="3501469" y="1622768"/>
        <a:ext cx="1539696" cy="746620"/>
      </dsp:txXfrm>
    </dsp:sp>
    <dsp:sp modelId="{C6248B0B-0BCA-4CE7-936A-1836A4ADE9CB}">
      <dsp:nvSpPr>
        <dsp:cNvPr id="0" name=""/>
        <dsp:cNvSpPr/>
      </dsp:nvSpPr>
      <dsp:spPr>
        <a:xfrm rot="17500715">
          <a:off x="4522851" y="1181998"/>
          <a:ext cx="1717547" cy="32092"/>
        </a:xfrm>
        <a:custGeom>
          <a:avLst/>
          <a:gdLst/>
          <a:ahLst/>
          <a:cxnLst/>
          <a:rect l="0" t="0" r="0" b="0"/>
          <a:pathLst>
            <a:path>
              <a:moveTo>
                <a:pt x="0" y="16046"/>
              </a:moveTo>
              <a:lnTo>
                <a:pt x="1717547" y="1604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es-ES" sz="600" kern="1200"/>
        </a:p>
      </dsp:txBody>
      <dsp:txXfrm>
        <a:off x="5338686" y="1155106"/>
        <a:ext cx="85877" cy="85877"/>
      </dsp:txXfrm>
    </dsp:sp>
    <dsp:sp modelId="{928551E3-21FD-4C4B-A009-0C2D9ADCA1A9}">
      <dsp:nvSpPr>
        <dsp:cNvPr id="0" name=""/>
        <dsp:cNvSpPr/>
      </dsp:nvSpPr>
      <dsp:spPr>
        <a:xfrm>
          <a:off x="5698855" y="3473"/>
          <a:ext cx="1586152" cy="79307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1066800">
            <a:lnSpc>
              <a:spcPct val="90000"/>
            </a:lnSpc>
            <a:spcBef>
              <a:spcPct val="0"/>
            </a:spcBef>
            <a:spcAft>
              <a:spcPct val="35000"/>
            </a:spcAft>
            <a:buNone/>
          </a:pPr>
          <a:r>
            <a:rPr lang="es-ES" sz="2400" kern="1200"/>
            <a:t>Fracción líquida</a:t>
          </a:r>
        </a:p>
      </dsp:txBody>
      <dsp:txXfrm>
        <a:off x="5722083" y="26701"/>
        <a:ext cx="1539696" cy="746620"/>
      </dsp:txXfrm>
    </dsp:sp>
    <dsp:sp modelId="{AB2BCEFE-BFDD-4277-8F55-F413EF1CCFC0}">
      <dsp:nvSpPr>
        <dsp:cNvPr id="0" name=""/>
        <dsp:cNvSpPr/>
      </dsp:nvSpPr>
      <dsp:spPr>
        <a:xfrm>
          <a:off x="7285008" y="383965"/>
          <a:ext cx="634461" cy="32092"/>
        </a:xfrm>
        <a:custGeom>
          <a:avLst/>
          <a:gdLst/>
          <a:ahLst/>
          <a:cxnLst/>
          <a:rect l="0" t="0" r="0" b="0"/>
          <a:pathLst>
            <a:path>
              <a:moveTo>
                <a:pt x="0" y="16046"/>
              </a:moveTo>
              <a:lnTo>
                <a:pt x="634461" y="1604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ES" sz="500" kern="1200"/>
        </a:p>
      </dsp:txBody>
      <dsp:txXfrm>
        <a:off x="7586377" y="384150"/>
        <a:ext cx="31723" cy="31723"/>
      </dsp:txXfrm>
    </dsp:sp>
    <dsp:sp modelId="{264412DA-3D97-47BF-9DFD-52C758026E89}">
      <dsp:nvSpPr>
        <dsp:cNvPr id="0" name=""/>
        <dsp:cNvSpPr/>
      </dsp:nvSpPr>
      <dsp:spPr>
        <a:xfrm>
          <a:off x="7919469" y="3473"/>
          <a:ext cx="1586152" cy="79307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s-ES" sz="2000" kern="1200"/>
            <a:t>Aplicación en campo</a:t>
          </a:r>
        </a:p>
      </dsp:txBody>
      <dsp:txXfrm>
        <a:off x="7942697" y="26701"/>
        <a:ext cx="1539696" cy="746620"/>
      </dsp:txXfrm>
    </dsp:sp>
    <dsp:sp modelId="{2D864B11-5336-4D1D-93C6-CE617E5809C6}">
      <dsp:nvSpPr>
        <dsp:cNvPr id="0" name=""/>
        <dsp:cNvSpPr/>
      </dsp:nvSpPr>
      <dsp:spPr>
        <a:xfrm rot="20413970">
          <a:off x="5044531" y="1866027"/>
          <a:ext cx="674187" cy="32092"/>
        </a:xfrm>
        <a:custGeom>
          <a:avLst/>
          <a:gdLst/>
          <a:ahLst/>
          <a:cxnLst/>
          <a:rect l="0" t="0" r="0" b="0"/>
          <a:pathLst>
            <a:path>
              <a:moveTo>
                <a:pt x="0" y="16046"/>
              </a:moveTo>
              <a:lnTo>
                <a:pt x="674187" y="1604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ES" sz="500" kern="1200"/>
        </a:p>
      </dsp:txBody>
      <dsp:txXfrm>
        <a:off x="5364770" y="1865219"/>
        <a:ext cx="33709" cy="33709"/>
      </dsp:txXfrm>
    </dsp:sp>
    <dsp:sp modelId="{C95F2A00-5AB1-48C6-AEB7-E7A51AB81008}">
      <dsp:nvSpPr>
        <dsp:cNvPr id="0" name=""/>
        <dsp:cNvSpPr/>
      </dsp:nvSpPr>
      <dsp:spPr>
        <a:xfrm>
          <a:off x="5698855" y="1371530"/>
          <a:ext cx="1586152" cy="79307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1066800">
            <a:lnSpc>
              <a:spcPct val="90000"/>
            </a:lnSpc>
            <a:spcBef>
              <a:spcPct val="0"/>
            </a:spcBef>
            <a:spcAft>
              <a:spcPct val="35000"/>
            </a:spcAft>
            <a:buNone/>
          </a:pPr>
          <a:r>
            <a:rPr lang="es-ES" sz="2400" kern="1200"/>
            <a:t>Fracción sólida</a:t>
          </a:r>
        </a:p>
      </dsp:txBody>
      <dsp:txXfrm>
        <a:off x="5722083" y="1394758"/>
        <a:ext cx="1539696" cy="746620"/>
      </dsp:txXfrm>
    </dsp:sp>
    <dsp:sp modelId="{A010E831-2C1D-42F3-B061-A245E4AF5F6C}">
      <dsp:nvSpPr>
        <dsp:cNvPr id="0" name=""/>
        <dsp:cNvSpPr/>
      </dsp:nvSpPr>
      <dsp:spPr>
        <a:xfrm rot="19457599">
          <a:off x="7211568" y="1524013"/>
          <a:ext cx="781341" cy="32092"/>
        </a:xfrm>
        <a:custGeom>
          <a:avLst/>
          <a:gdLst/>
          <a:ahLst/>
          <a:cxnLst/>
          <a:rect l="0" t="0" r="0" b="0"/>
          <a:pathLst>
            <a:path>
              <a:moveTo>
                <a:pt x="0" y="16046"/>
              </a:moveTo>
              <a:lnTo>
                <a:pt x="781341" y="1604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ES" sz="500" kern="1200"/>
        </a:p>
      </dsp:txBody>
      <dsp:txXfrm>
        <a:off x="7582705" y="1520526"/>
        <a:ext cx="39067" cy="39067"/>
      </dsp:txXfrm>
    </dsp:sp>
    <dsp:sp modelId="{33B3C3CC-0700-495E-9FEE-A4820BAA9B1C}">
      <dsp:nvSpPr>
        <dsp:cNvPr id="0" name=""/>
        <dsp:cNvSpPr/>
      </dsp:nvSpPr>
      <dsp:spPr>
        <a:xfrm>
          <a:off x="7919469" y="915511"/>
          <a:ext cx="1586152" cy="79307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s-ES" sz="2000" kern="1200"/>
            <a:t>Aplicación en campo</a:t>
          </a:r>
        </a:p>
      </dsp:txBody>
      <dsp:txXfrm>
        <a:off x="7942697" y="938739"/>
        <a:ext cx="1539696" cy="746620"/>
      </dsp:txXfrm>
    </dsp:sp>
    <dsp:sp modelId="{C209298A-BBAC-42F0-9EAA-1031035FACFE}">
      <dsp:nvSpPr>
        <dsp:cNvPr id="0" name=""/>
        <dsp:cNvSpPr/>
      </dsp:nvSpPr>
      <dsp:spPr>
        <a:xfrm rot="2142401">
          <a:off x="7211568" y="1980032"/>
          <a:ext cx="781341" cy="32092"/>
        </a:xfrm>
        <a:custGeom>
          <a:avLst/>
          <a:gdLst/>
          <a:ahLst/>
          <a:cxnLst/>
          <a:rect l="0" t="0" r="0" b="0"/>
          <a:pathLst>
            <a:path>
              <a:moveTo>
                <a:pt x="0" y="16046"/>
              </a:moveTo>
              <a:lnTo>
                <a:pt x="781341" y="1604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ES" sz="500" kern="1200"/>
        </a:p>
      </dsp:txBody>
      <dsp:txXfrm>
        <a:off x="7582705" y="1976544"/>
        <a:ext cx="39067" cy="39067"/>
      </dsp:txXfrm>
    </dsp:sp>
    <dsp:sp modelId="{7311788E-1C46-408E-995C-0CBFBE4CD621}">
      <dsp:nvSpPr>
        <dsp:cNvPr id="0" name=""/>
        <dsp:cNvSpPr/>
      </dsp:nvSpPr>
      <dsp:spPr>
        <a:xfrm>
          <a:off x="7919469" y="1827549"/>
          <a:ext cx="1586152" cy="79307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s-ES" sz="2000" kern="1200"/>
            <a:t>Valorización energética</a:t>
          </a:r>
        </a:p>
      </dsp:txBody>
      <dsp:txXfrm>
        <a:off x="7942697" y="1850777"/>
        <a:ext cx="1539696" cy="746620"/>
      </dsp:txXfrm>
    </dsp:sp>
    <dsp:sp modelId="{E15D74B0-1BD3-4EDD-8C78-9A4C4DE0B3C1}">
      <dsp:nvSpPr>
        <dsp:cNvPr id="0" name=""/>
        <dsp:cNvSpPr/>
      </dsp:nvSpPr>
      <dsp:spPr>
        <a:xfrm rot="4099285">
          <a:off x="4522851" y="2778065"/>
          <a:ext cx="1717547" cy="32092"/>
        </a:xfrm>
        <a:custGeom>
          <a:avLst/>
          <a:gdLst/>
          <a:ahLst/>
          <a:cxnLst/>
          <a:rect l="0" t="0" r="0" b="0"/>
          <a:pathLst>
            <a:path>
              <a:moveTo>
                <a:pt x="0" y="16046"/>
              </a:moveTo>
              <a:lnTo>
                <a:pt x="1717547" y="1604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es-ES" sz="600" kern="1200"/>
        </a:p>
      </dsp:txBody>
      <dsp:txXfrm>
        <a:off x="5338686" y="2751173"/>
        <a:ext cx="85877" cy="85877"/>
      </dsp:txXfrm>
    </dsp:sp>
    <dsp:sp modelId="{09474895-361F-4A91-9048-5F7B08208933}">
      <dsp:nvSpPr>
        <dsp:cNvPr id="0" name=""/>
        <dsp:cNvSpPr/>
      </dsp:nvSpPr>
      <dsp:spPr>
        <a:xfrm>
          <a:off x="5698855" y="3195606"/>
          <a:ext cx="1586152" cy="79307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1066800">
            <a:lnSpc>
              <a:spcPct val="90000"/>
            </a:lnSpc>
            <a:spcBef>
              <a:spcPct val="0"/>
            </a:spcBef>
            <a:spcAft>
              <a:spcPct val="35000"/>
            </a:spcAft>
            <a:buNone/>
          </a:pPr>
          <a:r>
            <a:rPr lang="es-ES" sz="2400" kern="1200"/>
            <a:t>Fracción gaseosa</a:t>
          </a:r>
        </a:p>
      </dsp:txBody>
      <dsp:txXfrm>
        <a:off x="5722083" y="3218834"/>
        <a:ext cx="1539696" cy="746620"/>
      </dsp:txXfrm>
    </dsp:sp>
    <dsp:sp modelId="{C5CF55B9-7D2A-4939-8DB1-0D213DEB74E5}">
      <dsp:nvSpPr>
        <dsp:cNvPr id="0" name=""/>
        <dsp:cNvSpPr/>
      </dsp:nvSpPr>
      <dsp:spPr>
        <a:xfrm rot="19457599">
          <a:off x="7211568" y="3348089"/>
          <a:ext cx="781341" cy="32092"/>
        </a:xfrm>
        <a:custGeom>
          <a:avLst/>
          <a:gdLst/>
          <a:ahLst/>
          <a:cxnLst/>
          <a:rect l="0" t="0" r="0" b="0"/>
          <a:pathLst>
            <a:path>
              <a:moveTo>
                <a:pt x="0" y="16046"/>
              </a:moveTo>
              <a:lnTo>
                <a:pt x="781341" y="1604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ES" sz="500" kern="1200"/>
        </a:p>
      </dsp:txBody>
      <dsp:txXfrm>
        <a:off x="7582705" y="3344601"/>
        <a:ext cx="39067" cy="39067"/>
      </dsp:txXfrm>
    </dsp:sp>
    <dsp:sp modelId="{ACC32D5A-C1D7-4D4D-A656-839DBB04E3FF}">
      <dsp:nvSpPr>
        <dsp:cNvPr id="0" name=""/>
        <dsp:cNvSpPr/>
      </dsp:nvSpPr>
      <dsp:spPr>
        <a:xfrm>
          <a:off x="7919469" y="2739587"/>
          <a:ext cx="1586152" cy="79307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s-ES" sz="2000" kern="1200"/>
            <a:t>Fugas</a:t>
          </a:r>
        </a:p>
      </dsp:txBody>
      <dsp:txXfrm>
        <a:off x="7942697" y="2762815"/>
        <a:ext cx="1539696" cy="746620"/>
      </dsp:txXfrm>
    </dsp:sp>
    <dsp:sp modelId="{A2CE4C33-B19A-4BA6-A021-C136E26ECA13}">
      <dsp:nvSpPr>
        <dsp:cNvPr id="0" name=""/>
        <dsp:cNvSpPr/>
      </dsp:nvSpPr>
      <dsp:spPr>
        <a:xfrm rot="2142401">
          <a:off x="7211568" y="3804108"/>
          <a:ext cx="781341" cy="32092"/>
        </a:xfrm>
        <a:custGeom>
          <a:avLst/>
          <a:gdLst/>
          <a:ahLst/>
          <a:cxnLst/>
          <a:rect l="0" t="0" r="0" b="0"/>
          <a:pathLst>
            <a:path>
              <a:moveTo>
                <a:pt x="0" y="16046"/>
              </a:moveTo>
              <a:lnTo>
                <a:pt x="781341" y="1604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ES" sz="500" kern="1200"/>
        </a:p>
      </dsp:txBody>
      <dsp:txXfrm>
        <a:off x="7582705" y="3800620"/>
        <a:ext cx="39067" cy="39067"/>
      </dsp:txXfrm>
    </dsp:sp>
    <dsp:sp modelId="{710A99AB-E396-4E28-A758-3ACB5DE60348}">
      <dsp:nvSpPr>
        <dsp:cNvPr id="0" name=""/>
        <dsp:cNvSpPr/>
      </dsp:nvSpPr>
      <dsp:spPr>
        <a:xfrm>
          <a:off x="7919469" y="3651625"/>
          <a:ext cx="1586152" cy="79307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s-ES" sz="2000" kern="1200"/>
            <a:t>Valorización</a:t>
          </a:r>
        </a:p>
      </dsp:txBody>
      <dsp:txXfrm>
        <a:off x="7942697" y="3674853"/>
        <a:ext cx="1539696" cy="74662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wmf"/><Relationship Id="rId1" Type="http://schemas.openxmlformats.org/officeDocument/2006/relationships/hyperlink" Target="#'8. Observaciones'!C89"/></Relationships>
</file>

<file path=xl/drawings/drawing1.xml><?xml version="1.0" encoding="utf-8"?>
<xdr:wsDr xmlns:xdr="http://schemas.openxmlformats.org/drawingml/2006/spreadsheetDrawing" xmlns:a="http://schemas.openxmlformats.org/drawingml/2006/main">
  <xdr:twoCellAnchor>
    <xdr:from>
      <xdr:col>1</xdr:col>
      <xdr:colOff>171451</xdr:colOff>
      <xdr:row>4</xdr:row>
      <xdr:rowOff>28576</xdr:rowOff>
    </xdr:from>
    <xdr:to>
      <xdr:col>7</xdr:col>
      <xdr:colOff>533400</xdr:colOff>
      <xdr:row>15</xdr:row>
      <xdr:rowOff>66675</xdr:rowOff>
    </xdr:to>
    <xdr:graphicFrame macro="">
      <xdr:nvGraphicFramePr>
        <xdr:cNvPr id="5" name="4 Diagrama">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18</xdr:row>
      <xdr:rowOff>28574</xdr:rowOff>
    </xdr:from>
    <xdr:to>
      <xdr:col>14</xdr:col>
      <xdr:colOff>438150</xdr:colOff>
      <xdr:row>45</xdr:row>
      <xdr:rowOff>28575</xdr:rowOff>
    </xdr:to>
    <xdr:graphicFrame macro="">
      <xdr:nvGraphicFramePr>
        <xdr:cNvPr id="6" name="5 Diagrama">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685800</xdr:colOff>
      <xdr:row>3</xdr:row>
      <xdr:rowOff>123825</xdr:rowOff>
    </xdr:from>
    <xdr:to>
      <xdr:col>4</xdr:col>
      <xdr:colOff>752475</xdr:colOff>
      <xdr:row>11</xdr:row>
      <xdr:rowOff>133350</xdr:rowOff>
    </xdr:to>
    <xdr:sp macro="" textlink="">
      <xdr:nvSpPr>
        <xdr:cNvPr id="2" name="1 Abrir llave">
          <a:extLst>
            <a:ext uri="{FF2B5EF4-FFF2-40B4-BE49-F238E27FC236}">
              <a16:creationId xmlns:a16="http://schemas.microsoft.com/office/drawing/2014/main" id="{00000000-0008-0000-0200-000002000000}"/>
            </a:ext>
          </a:extLst>
        </xdr:cNvPr>
        <xdr:cNvSpPr/>
      </xdr:nvSpPr>
      <xdr:spPr>
        <a:xfrm>
          <a:off x="3619500" y="933450"/>
          <a:ext cx="66675" cy="2428875"/>
        </a:xfrm>
        <a:prstGeom prst="leftBrace">
          <a:avLst/>
        </a:prstGeom>
      </xdr:spPr>
      <xdr:style>
        <a:lnRef idx="3">
          <a:schemeClr val="accent1"/>
        </a:lnRef>
        <a:fillRef idx="0">
          <a:schemeClr val="accent1"/>
        </a:fillRef>
        <a:effectRef idx="2">
          <a:schemeClr val="accent1"/>
        </a:effectRef>
        <a:fontRef idx="minor">
          <a:schemeClr val="tx1"/>
        </a:fontRef>
      </xdr:style>
      <xdr:txBody>
        <a:bodyPr vertOverflow="clip" rtlCol="0" anchor="ctr"/>
        <a:lstStyle/>
        <a:p>
          <a:pPr algn="ct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1266825</xdr:colOff>
      <xdr:row>90</xdr:row>
      <xdr:rowOff>161925</xdr:rowOff>
    </xdr:from>
    <xdr:to>
      <xdr:col>3</xdr:col>
      <xdr:colOff>4252</xdr:colOff>
      <xdr:row>90</xdr:row>
      <xdr:rowOff>209550</xdr:rowOff>
    </xdr:to>
    <xdr:pic>
      <xdr:nvPicPr>
        <xdr:cNvPr id="2" name="6 Imagen" descr="D:\Documents and Settings\enotario\Configuración local\Temp\Temporary Internet Files\Content.IE5\QQXMQY3R\MC900442072[1].wmf">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57775" y="3790950"/>
          <a:ext cx="257175" cy="171450"/>
        </a:xfrm>
        <a:prstGeom prst="rect">
          <a:avLst/>
        </a:prstGeom>
        <a:noFill/>
        <a:ln w="9525">
          <a:noFill/>
          <a:miter lim="800000"/>
          <a:headEnd/>
          <a:tailEnd/>
        </a:ln>
      </xdr:spPr>
    </xdr:pic>
    <xdr:clientData/>
  </xdr:twoCellAnchor>
  <xdr:twoCellAnchor>
    <xdr:from>
      <xdr:col>5</xdr:col>
      <xdr:colOff>352425</xdr:colOff>
      <xdr:row>14</xdr:row>
      <xdr:rowOff>190499</xdr:rowOff>
    </xdr:from>
    <xdr:to>
      <xdr:col>7</xdr:col>
      <xdr:colOff>390525</xdr:colOff>
      <xdr:row>17</xdr:row>
      <xdr:rowOff>38100</xdr:rowOff>
    </xdr:to>
    <xdr:sp macro="" textlink="">
      <xdr:nvSpPr>
        <xdr:cNvPr id="7" name="6 Cheurón">
          <a:extLst>
            <a:ext uri="{FF2B5EF4-FFF2-40B4-BE49-F238E27FC236}">
              <a16:creationId xmlns:a16="http://schemas.microsoft.com/office/drawing/2014/main" id="{00000000-0008-0000-0300-000007000000}"/>
            </a:ext>
          </a:extLst>
        </xdr:cNvPr>
        <xdr:cNvSpPr/>
      </xdr:nvSpPr>
      <xdr:spPr>
        <a:xfrm>
          <a:off x="3219450" y="3171824"/>
          <a:ext cx="1314450" cy="438151"/>
        </a:xfrm>
        <a:prstGeom prst="chevron">
          <a:avLst/>
        </a:prstGeom>
        <a:solidFill>
          <a:schemeClr val="accent5">
            <a:lumMod val="75000"/>
          </a:schemeClr>
        </a:solidFill>
        <a:ln>
          <a:solidFill>
            <a:schemeClr val="bg1"/>
          </a:solidFill>
          <a:prstDash val="solid"/>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ES" sz="1100">
            <a:solidFill>
              <a:schemeClr val="tx1"/>
            </a:solidFill>
          </a:endParaRPr>
        </a:p>
      </xdr:txBody>
    </xdr:sp>
    <xdr:clientData/>
  </xdr:twoCellAnchor>
  <xdr:twoCellAnchor>
    <xdr:from>
      <xdr:col>11</xdr:col>
      <xdr:colOff>51707</xdr:colOff>
      <xdr:row>14</xdr:row>
      <xdr:rowOff>174170</xdr:rowOff>
    </xdr:from>
    <xdr:to>
      <xdr:col>13</xdr:col>
      <xdr:colOff>280307</xdr:colOff>
      <xdr:row>16</xdr:row>
      <xdr:rowOff>179614</xdr:rowOff>
    </xdr:to>
    <xdr:sp macro="" textlink="">
      <xdr:nvSpPr>
        <xdr:cNvPr id="9" name="8 Cheurón">
          <a:extLst>
            <a:ext uri="{FF2B5EF4-FFF2-40B4-BE49-F238E27FC236}">
              <a16:creationId xmlns:a16="http://schemas.microsoft.com/office/drawing/2014/main" id="{00000000-0008-0000-0300-000009000000}"/>
            </a:ext>
          </a:extLst>
        </xdr:cNvPr>
        <xdr:cNvSpPr/>
      </xdr:nvSpPr>
      <xdr:spPr>
        <a:xfrm>
          <a:off x="7141028" y="3031670"/>
          <a:ext cx="1058636" cy="400051"/>
        </a:xfrm>
        <a:prstGeom prst="chevron">
          <a:avLst/>
        </a:prstGeom>
        <a:solidFill>
          <a:schemeClr val="accent6"/>
        </a:solidFill>
        <a:ln>
          <a:solidFill>
            <a:schemeClr val="bg1"/>
          </a:solidFill>
          <a:prstDash val="solid"/>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ES" sz="1100">
            <a:solidFill>
              <a:schemeClr val="tx1"/>
            </a:solidFill>
          </a:endParaRPr>
        </a:p>
      </xdr:txBody>
    </xdr:sp>
    <xdr:clientData/>
  </xdr:twoCellAnchor>
  <xdr:twoCellAnchor>
    <xdr:from>
      <xdr:col>6</xdr:col>
      <xdr:colOff>325531</xdr:colOff>
      <xdr:row>46</xdr:row>
      <xdr:rowOff>43142</xdr:rowOff>
    </xdr:from>
    <xdr:to>
      <xdr:col>8</xdr:col>
      <xdr:colOff>677956</xdr:colOff>
      <xdr:row>48</xdr:row>
      <xdr:rowOff>84044</xdr:rowOff>
    </xdr:to>
    <xdr:sp macro="" textlink="">
      <xdr:nvSpPr>
        <xdr:cNvPr id="12" name="11 Cheurón">
          <a:extLst>
            <a:ext uri="{FF2B5EF4-FFF2-40B4-BE49-F238E27FC236}">
              <a16:creationId xmlns:a16="http://schemas.microsoft.com/office/drawing/2014/main" id="{00000000-0008-0000-0300-00000C000000}"/>
            </a:ext>
          </a:extLst>
        </xdr:cNvPr>
        <xdr:cNvSpPr/>
      </xdr:nvSpPr>
      <xdr:spPr>
        <a:xfrm>
          <a:off x="3878356" y="9234767"/>
          <a:ext cx="1314450" cy="440952"/>
        </a:xfrm>
        <a:prstGeom prst="chevron">
          <a:avLst/>
        </a:prstGeom>
        <a:solidFill>
          <a:schemeClr val="accent5">
            <a:lumMod val="75000"/>
          </a:schemeClr>
        </a:solidFill>
        <a:ln>
          <a:solidFill>
            <a:schemeClr val="bg1"/>
          </a:solidFill>
          <a:prstDash val="solid"/>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ES" sz="1100">
            <a:solidFill>
              <a:schemeClr val="tx1"/>
            </a:solidFill>
          </a:endParaRPr>
        </a:p>
      </xdr:txBody>
    </xdr:sp>
    <xdr:clientData/>
  </xdr:twoCellAnchor>
  <xdr:twoCellAnchor>
    <xdr:from>
      <xdr:col>12</xdr:col>
      <xdr:colOff>47624</xdr:colOff>
      <xdr:row>47</xdr:row>
      <xdr:rowOff>21770</xdr:rowOff>
    </xdr:from>
    <xdr:to>
      <xdr:col>13</xdr:col>
      <xdr:colOff>251731</xdr:colOff>
      <xdr:row>48</xdr:row>
      <xdr:rowOff>104775</xdr:rowOff>
    </xdr:to>
    <xdr:sp macro="" textlink="">
      <xdr:nvSpPr>
        <xdr:cNvPr id="13" name="12 Cheurón">
          <a:extLst>
            <a:ext uri="{FF2B5EF4-FFF2-40B4-BE49-F238E27FC236}">
              <a16:creationId xmlns:a16="http://schemas.microsoft.com/office/drawing/2014/main" id="{00000000-0008-0000-0300-00000D000000}"/>
            </a:ext>
          </a:extLst>
        </xdr:cNvPr>
        <xdr:cNvSpPr/>
      </xdr:nvSpPr>
      <xdr:spPr>
        <a:xfrm>
          <a:off x="7419974" y="9422945"/>
          <a:ext cx="699407" cy="273505"/>
        </a:xfrm>
        <a:prstGeom prst="chevron">
          <a:avLst/>
        </a:prstGeom>
        <a:solidFill>
          <a:schemeClr val="accent6"/>
        </a:solidFill>
        <a:ln>
          <a:solidFill>
            <a:schemeClr val="bg1"/>
          </a:solidFill>
          <a:prstDash val="solid"/>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E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GCACC\MITIGACION\HUELLA%20DE%20CARBONO\00.REGISTRO\A.HUELLA%20CARBONO\02_ACTUAL%20WEB_HC\2017_05_18%20calculadora_hc2007_2016_v9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GCACC\MITIGACION\HUELLA%20DE%20CARBONO\00.REGISTRO\A.HUELLA%20CARBONO\02_ACTUAL%20WEB_HC\2017_05_10%20calculadorahc_cultivos_v6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E INSTRUCCIONES"/>
      <sheetName val="1_Datos generales organización"/>
      <sheetName val="2_Combustibles fósiles"/>
      <sheetName val="3_Fluorados"/>
      <sheetName val="4_Electricidad"/>
      <sheetName val="5_Información adicional"/>
      <sheetName val="6_Resultados"/>
      <sheetName val="7_Factores de emisión"/>
      <sheetName val="8. Observaciones"/>
      <sheetName val="9. Revisiones calculadora"/>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22">
          <cell r="H122" t="str">
            <v xml:space="preserve">Sí </v>
          </cell>
        </row>
        <row r="123">
          <cell r="H123"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E INSTRUCCIONES"/>
      <sheetName val="1_Datos generales organización"/>
      <sheetName val="2_Datos_Cultivos"/>
      <sheetName val="3_Cultivos"/>
      <sheetName val="4_Combustibles fósiles"/>
      <sheetName val="5_Fluorados"/>
      <sheetName val="6_Electricidad"/>
      <sheetName val="7_Información adicional"/>
      <sheetName val="8_Resultados"/>
      <sheetName val="9_Factores de emisión"/>
      <sheetName val="10. Observaciones"/>
      <sheetName val="11. Revisiones calculadora"/>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81">
          <cell r="D281" t="str">
            <v xml:space="preserve">Laboreo tradicional </v>
          </cell>
        </row>
        <row r="282">
          <cell r="D282" t="str">
            <v xml:space="preserve">Laboreo mínimo </v>
          </cell>
        </row>
        <row r="283">
          <cell r="D283" t="str">
            <v>Cubierta vegetal espontánea</v>
          </cell>
        </row>
        <row r="284">
          <cell r="D284" t="str">
            <v>Cubierta vegetal sembrada</v>
          </cell>
        </row>
        <row r="285">
          <cell r="D285" t="str">
            <v xml:space="preserve">Cubierta inerte </v>
          </cell>
        </row>
        <row r="286">
          <cell r="D286" t="str">
            <v xml:space="preserve">Sin mantenimiento </v>
          </cell>
        </row>
        <row r="287">
          <cell r="D287" t="str">
            <v xml:space="preserve">No laboreo </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DANIEL_2" headers="0" backgroundRefresh="0" growShrinkType="overwriteClear" adjustColumnWidth="0" connectionId="4" xr16:uid="{00000000-0016-0000-0300-000000000000}" autoFormatId="16" applyNumberFormats="0" applyBorderFormats="0" applyFontFormats="1" applyPatternFormats="1" applyAlignmentFormats="0" applyWidthHeightFormats="0">
  <queryTableRefresh preserveSortFilterLayout="0" headersInLastRefresh="0" nextId="9">
    <queryTableFields count="2">
      <queryTableField id="6" name="E.NE/E.CANTIDAD"/>
      <queryTableField id="7" name="FE_EST_N2O"/>
    </queryTableFields>
    <queryTableDeletedFields count="5">
      <deletedField name="CODIGO"/>
      <deletedField name="CATEGORIA"/>
      <deletedField name="PROVINCIA"/>
      <deletedField name="NOMBRE"/>
      <deletedField name="ANIMAL"/>
    </queryTableDeletedFields>
  </queryTableRefresh>
</query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26"/>
  <sheetViews>
    <sheetView workbookViewId="0">
      <selection activeCell="B2" sqref="B2"/>
    </sheetView>
  </sheetViews>
  <sheetFormatPr baseColWidth="10" defaultColWidth="11.42578125" defaultRowHeight="14.25" x14ac:dyDescent="0.2"/>
  <cols>
    <col min="1" max="16384" width="11.42578125" style="150"/>
  </cols>
  <sheetData>
    <row r="2" spans="2:14" ht="15" x14ac:dyDescent="0.25">
      <c r="B2" s="176">
        <v>44593</v>
      </c>
    </row>
    <row r="3" spans="2:14" x14ac:dyDescent="0.2">
      <c r="B3" s="151"/>
    </row>
    <row r="4" spans="2:14" ht="14.25" customHeight="1" x14ac:dyDescent="0.2">
      <c r="B4" s="187" t="s">
        <v>230</v>
      </c>
      <c r="C4" s="187"/>
      <c r="D4" s="187"/>
      <c r="E4" s="187"/>
      <c r="F4" s="187"/>
      <c r="G4" s="187"/>
      <c r="H4" s="187"/>
      <c r="I4" s="187"/>
      <c r="J4" s="187"/>
      <c r="K4" s="187"/>
      <c r="L4" s="187"/>
      <c r="M4" s="187"/>
      <c r="N4" s="187"/>
    </row>
    <row r="5" spans="2:14" x14ac:dyDescent="0.2">
      <c r="B5" s="187"/>
      <c r="C5" s="187"/>
      <c r="D5" s="187"/>
      <c r="E5" s="187"/>
      <c r="F5" s="187"/>
      <c r="G5" s="187"/>
      <c r="H5" s="187"/>
      <c r="I5" s="187"/>
      <c r="J5" s="187"/>
      <c r="K5" s="187"/>
      <c r="L5" s="187"/>
      <c r="M5" s="187"/>
      <c r="N5" s="187"/>
    </row>
    <row r="6" spans="2:14" x14ac:dyDescent="0.2">
      <c r="B6" s="187"/>
      <c r="C6" s="187"/>
      <c r="D6" s="187"/>
      <c r="E6" s="187"/>
      <c r="F6" s="187"/>
      <c r="G6" s="187"/>
      <c r="H6" s="187"/>
      <c r="I6" s="187"/>
      <c r="J6" s="187"/>
      <c r="K6" s="187"/>
      <c r="L6" s="187"/>
      <c r="M6" s="187"/>
      <c r="N6" s="187"/>
    </row>
    <row r="8" spans="2:14" ht="18.75" x14ac:dyDescent="0.3">
      <c r="B8" s="148" t="s">
        <v>205</v>
      </c>
    </row>
    <row r="10" spans="2:14" x14ac:dyDescent="0.2">
      <c r="B10" s="152"/>
      <c r="C10" s="150" t="s">
        <v>207</v>
      </c>
    </row>
    <row r="11" spans="2:14" ht="7.5" customHeight="1" x14ac:dyDescent="0.2"/>
    <row r="12" spans="2:14" x14ac:dyDescent="0.2">
      <c r="B12" s="153"/>
      <c r="C12" s="150" t="s">
        <v>208</v>
      </c>
    </row>
    <row r="14" spans="2:14" x14ac:dyDescent="0.2">
      <c r="B14" s="150" t="s">
        <v>206</v>
      </c>
    </row>
    <row r="15" spans="2:14" ht="5.25" customHeight="1" x14ac:dyDescent="0.2"/>
    <row r="16" spans="2:14" x14ac:dyDescent="0.2">
      <c r="C16" s="150" t="s">
        <v>213</v>
      </c>
    </row>
    <row r="17" spans="2:3" ht="5.25" customHeight="1" x14ac:dyDescent="0.2"/>
    <row r="18" spans="2:3" x14ac:dyDescent="0.2">
      <c r="C18" s="149" t="s">
        <v>209</v>
      </c>
    </row>
    <row r="19" spans="2:3" ht="6" customHeight="1" x14ac:dyDescent="0.2"/>
    <row r="20" spans="2:3" x14ac:dyDescent="0.2">
      <c r="C20" s="150" t="s">
        <v>214</v>
      </c>
    </row>
    <row r="26" spans="2:3" x14ac:dyDescent="0.2">
      <c r="B26" s="155"/>
    </row>
  </sheetData>
  <sheetProtection algorithmName="SHA-512" hashValue="+W5KB/Y80NvNnjcf1dRZGKV9kN9u4oHUsHug14jtITTR8LqEIEZ85bJJLOM78D+uREHBmfCOjnQMeERTT1huhg==" saltValue="BED+kn/qvesX108UJb8kEQ==" spinCount="100000" sheet="1" objects="1" scenarios="1"/>
  <mergeCells count="1">
    <mergeCell ref="B4:N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54"/>
  <sheetViews>
    <sheetView zoomScaleNormal="100" workbookViewId="0"/>
  </sheetViews>
  <sheetFormatPr baseColWidth="10" defaultColWidth="11.42578125" defaultRowHeight="12.75" x14ac:dyDescent="0.2"/>
  <cols>
    <col min="1" max="1" width="6.28515625" style="121" customWidth="1"/>
    <col min="2" max="16384" width="11.42578125" style="121"/>
  </cols>
  <sheetData>
    <row r="2" spans="2:2" ht="26.25" x14ac:dyDescent="0.4">
      <c r="B2" s="147" t="s">
        <v>202</v>
      </c>
    </row>
    <row r="4" spans="2:2" ht="18.75" x14ac:dyDescent="0.3">
      <c r="B4" s="148" t="s">
        <v>203</v>
      </c>
    </row>
    <row r="17" spans="2:15" x14ac:dyDescent="0.2">
      <c r="I17" s="189" t="s">
        <v>210</v>
      </c>
      <c r="J17" s="190"/>
    </row>
    <row r="18" spans="2:15" x14ac:dyDescent="0.2">
      <c r="I18" s="190"/>
      <c r="J18" s="190"/>
      <c r="N18" s="188" t="s">
        <v>215</v>
      </c>
      <c r="O18" s="188"/>
    </row>
    <row r="19" spans="2:15" ht="18.75" customHeight="1" x14ac:dyDescent="0.3">
      <c r="B19" s="148" t="s">
        <v>204</v>
      </c>
      <c r="N19" s="188"/>
      <c r="O19" s="188"/>
    </row>
    <row r="20" spans="2:15" x14ac:dyDescent="0.2">
      <c r="N20" s="188"/>
      <c r="O20" s="188"/>
    </row>
    <row r="21" spans="2:15" x14ac:dyDescent="0.2">
      <c r="N21" s="188"/>
      <c r="O21" s="188"/>
    </row>
    <row r="22" spans="2:15" x14ac:dyDescent="0.2">
      <c r="N22" s="188"/>
      <c r="O22" s="188"/>
    </row>
    <row r="23" spans="2:15" x14ac:dyDescent="0.2">
      <c r="N23" s="188"/>
      <c r="O23" s="188"/>
    </row>
    <row r="30" spans="2:15" x14ac:dyDescent="0.2">
      <c r="N30" s="188" t="s">
        <v>211</v>
      </c>
      <c r="O30" s="191"/>
    </row>
    <row r="31" spans="2:15" x14ac:dyDescent="0.2">
      <c r="N31" s="191"/>
      <c r="O31" s="191"/>
    </row>
    <row r="32" spans="2:15" x14ac:dyDescent="0.2">
      <c r="N32" s="191"/>
      <c r="O32" s="191"/>
    </row>
    <row r="33" spans="6:15" ht="12.75" customHeight="1" x14ac:dyDescent="0.2">
      <c r="N33" s="191"/>
      <c r="O33" s="191"/>
    </row>
    <row r="34" spans="6:15" x14ac:dyDescent="0.2">
      <c r="N34" s="191"/>
      <c r="O34" s="191"/>
    </row>
    <row r="35" spans="6:15" x14ac:dyDescent="0.2">
      <c r="F35" s="188" t="s">
        <v>212</v>
      </c>
      <c r="G35" s="188"/>
    </row>
    <row r="36" spans="6:15" x14ac:dyDescent="0.2">
      <c r="F36" s="188"/>
      <c r="G36" s="188"/>
    </row>
    <row r="37" spans="6:15" x14ac:dyDescent="0.2">
      <c r="F37" s="188"/>
      <c r="G37" s="188"/>
    </row>
    <row r="38" spans="6:15" x14ac:dyDescent="0.2">
      <c r="F38" s="188"/>
      <c r="G38" s="188"/>
    </row>
    <row r="39" spans="6:15" x14ac:dyDescent="0.2">
      <c r="F39" s="188"/>
      <c r="G39" s="188"/>
    </row>
    <row r="40" spans="6:15" x14ac:dyDescent="0.2">
      <c r="F40" s="188"/>
      <c r="G40" s="188"/>
    </row>
    <row r="41" spans="6:15" x14ac:dyDescent="0.2">
      <c r="F41" s="188"/>
      <c r="G41" s="188"/>
      <c r="N41" s="188" t="s">
        <v>211</v>
      </c>
      <c r="O41" s="191"/>
    </row>
    <row r="42" spans="6:15" x14ac:dyDescent="0.2">
      <c r="F42" s="188"/>
      <c r="G42" s="188"/>
      <c r="N42" s="191"/>
      <c r="O42" s="191"/>
    </row>
    <row r="43" spans="6:15" x14ac:dyDescent="0.2">
      <c r="F43" s="188"/>
      <c r="G43" s="188"/>
      <c r="N43" s="191"/>
      <c r="O43" s="191"/>
    </row>
    <row r="44" spans="6:15" x14ac:dyDescent="0.2">
      <c r="F44" s="188"/>
      <c r="G44" s="188"/>
      <c r="N44" s="191"/>
      <c r="O44" s="191"/>
    </row>
    <row r="45" spans="6:15" x14ac:dyDescent="0.2">
      <c r="F45" s="188"/>
      <c r="G45" s="188"/>
      <c r="N45" s="191"/>
      <c r="O45" s="191"/>
    </row>
    <row r="46" spans="6:15" x14ac:dyDescent="0.2">
      <c r="F46" s="188"/>
      <c r="G46" s="188"/>
    </row>
    <row r="47" spans="6:15" x14ac:dyDescent="0.2">
      <c r="F47" s="188"/>
      <c r="G47" s="188"/>
    </row>
    <row r="48" spans="6:15" x14ac:dyDescent="0.2">
      <c r="F48" s="188"/>
      <c r="G48" s="188"/>
    </row>
    <row r="49" ht="12.75" customHeight="1" x14ac:dyDescent="0.2"/>
    <row r="50" ht="12.75" customHeight="1" x14ac:dyDescent="0.2"/>
    <row r="51" ht="12.75" customHeight="1" x14ac:dyDescent="0.2"/>
    <row r="52" ht="12.75" customHeight="1" x14ac:dyDescent="0.2"/>
    <row r="54" ht="15" customHeight="1" x14ac:dyDescent="0.2"/>
  </sheetData>
  <sheetProtection password="D151" sheet="1" objects="1" scenarios="1"/>
  <mergeCells count="5">
    <mergeCell ref="F35:G48"/>
    <mergeCell ref="I17:J18"/>
    <mergeCell ref="N30:O34"/>
    <mergeCell ref="N41:O45"/>
    <mergeCell ref="N18:O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U91"/>
  <sheetViews>
    <sheetView tabSelected="1" topLeftCell="A29" workbookViewId="0">
      <selection activeCell="K40" sqref="K40"/>
    </sheetView>
  </sheetViews>
  <sheetFormatPr baseColWidth="10" defaultColWidth="11.42578125" defaultRowHeight="15" x14ac:dyDescent="0.25"/>
  <cols>
    <col min="1" max="1" width="4.42578125" style="3" customWidth="1"/>
    <col min="2" max="2" width="11.140625" style="3" customWidth="1"/>
    <col min="3" max="3" width="16.140625" style="3" customWidth="1"/>
    <col min="4" max="4" width="14.42578125" style="3" customWidth="1"/>
    <col min="5" max="6" width="11.85546875" style="3" customWidth="1"/>
    <col min="7" max="7" width="12.7109375" style="3" customWidth="1"/>
    <col min="8" max="9" width="11.28515625" style="3" customWidth="1"/>
    <col min="10" max="10" width="12.7109375" style="3" customWidth="1"/>
    <col min="11" max="11" width="12" style="3" customWidth="1"/>
    <col min="12" max="12" width="10" style="3" customWidth="1"/>
    <col min="13" max="13" width="10.140625" style="3" bestFit="1" customWidth="1"/>
    <col min="14" max="16384" width="11.42578125" style="3"/>
  </cols>
  <sheetData>
    <row r="2" spans="1:15" ht="18.75" x14ac:dyDescent="0.3">
      <c r="B2" s="61" t="s">
        <v>27</v>
      </c>
    </row>
    <row r="3" spans="1:15" ht="18.75" x14ac:dyDescent="0.3">
      <c r="B3" s="4" t="s">
        <v>235</v>
      </c>
    </row>
    <row r="4" spans="1:15" ht="21.75" customHeight="1" x14ac:dyDescent="0.25">
      <c r="D4" s="111"/>
      <c r="E4" s="111"/>
      <c r="F4" s="112"/>
    </row>
    <row r="5" spans="1:15" ht="30" customHeight="1" x14ac:dyDescent="0.25">
      <c r="D5" s="111"/>
      <c r="E5" s="111"/>
      <c r="F5" s="216" t="s">
        <v>159</v>
      </c>
      <c r="G5" s="216"/>
      <c r="I5" s="249" t="str">
        <f>IF(AND(OR(ISNUMBER(F7),ISNUMBER(F11)),B9&lt;&gt;SUM(F7,F11)),"Atención: la suma de ambas cantidades debe ser igual al total","")</f>
        <v/>
      </c>
      <c r="J5" s="249"/>
      <c r="K5" s="249"/>
      <c r="L5" s="7"/>
    </row>
    <row r="6" spans="1:15" ht="15" customHeight="1" x14ac:dyDescent="0.25">
      <c r="A6" s="223" t="s">
        <v>124</v>
      </c>
      <c r="B6" s="216" t="s">
        <v>178</v>
      </c>
      <c r="C6" s="216"/>
      <c r="D6" s="250" t="s">
        <v>157</v>
      </c>
      <c r="E6" s="250"/>
      <c r="F6" s="251" t="s">
        <v>103</v>
      </c>
      <c r="G6" s="251"/>
      <c r="I6" s="249" t="str">
        <f>IF(AND(ISNUMBER(I11),I11+L11&lt;&gt;F11),"Atención: la suma de ambas cantidades debe ser igual a la cantidad total destinada a vertedero","")</f>
        <v/>
      </c>
      <c r="J6" s="249"/>
      <c r="K6" s="249"/>
      <c r="L6" s="249"/>
    </row>
    <row r="7" spans="1:15" ht="21" customHeight="1" x14ac:dyDescent="0.25">
      <c r="A7" s="223"/>
      <c r="B7" s="254" t="s">
        <v>48</v>
      </c>
      <c r="C7" s="255"/>
      <c r="D7" s="250"/>
      <c r="E7" s="250"/>
      <c r="F7" s="252"/>
      <c r="G7" s="253"/>
      <c r="I7" s="249"/>
      <c r="J7" s="249"/>
      <c r="K7" s="249"/>
      <c r="L7" s="249"/>
    </row>
    <row r="8" spans="1:15" ht="17.25" customHeight="1" x14ac:dyDescent="0.25">
      <c r="B8" s="115" t="s">
        <v>103</v>
      </c>
      <c r="C8" s="115" t="s">
        <v>120</v>
      </c>
      <c r="D8" s="250"/>
      <c r="E8" s="250"/>
    </row>
    <row r="9" spans="1:15" ht="19.5" customHeight="1" x14ac:dyDescent="0.25">
      <c r="B9" s="174">
        <f>'Emisiones línea proyecto (EP)'!C11</f>
        <v>0</v>
      </c>
      <c r="C9" s="174">
        <f>'Emisiones línea proyecto (EP)'!D11</f>
        <v>0</v>
      </c>
      <c r="D9" s="250"/>
      <c r="E9" s="250"/>
      <c r="F9" s="216" t="s">
        <v>160</v>
      </c>
      <c r="G9" s="216"/>
      <c r="H9" s="216"/>
      <c r="I9" s="216"/>
      <c r="J9" s="216"/>
      <c r="K9" s="216"/>
      <c r="L9" s="216"/>
    </row>
    <row r="10" spans="1:15" ht="45" x14ac:dyDescent="0.25">
      <c r="F10" s="110" t="s">
        <v>158</v>
      </c>
      <c r="G10" s="248" t="s">
        <v>132</v>
      </c>
      <c r="H10" s="245"/>
      <c r="I10" s="113" t="s">
        <v>134</v>
      </c>
      <c r="J10" s="245" t="s">
        <v>131</v>
      </c>
      <c r="K10" s="245"/>
      <c r="L10" s="114" t="s">
        <v>133</v>
      </c>
    </row>
    <row r="11" spans="1:15" ht="21" customHeight="1" x14ac:dyDescent="0.25">
      <c r="F11" s="177"/>
      <c r="G11" s="247"/>
      <c r="H11" s="246"/>
      <c r="I11" s="179"/>
      <c r="J11" s="246"/>
      <c r="K11" s="246"/>
      <c r="L11" s="180"/>
    </row>
    <row r="12" spans="1:15" x14ac:dyDescent="0.25">
      <c r="J12" s="62"/>
    </row>
    <row r="13" spans="1:15" x14ac:dyDescent="0.25">
      <c r="J13" s="62"/>
    </row>
    <row r="14" spans="1:15" x14ac:dyDescent="0.25">
      <c r="B14" s="4" t="s">
        <v>187</v>
      </c>
      <c r="J14" s="62"/>
    </row>
    <row r="15" spans="1:15" ht="7.5" customHeight="1" x14ac:dyDescent="0.25">
      <c r="J15" s="62"/>
    </row>
    <row r="16" spans="1:15" ht="15" customHeight="1" x14ac:dyDescent="0.25">
      <c r="B16" s="207" t="s">
        <v>179</v>
      </c>
      <c r="C16" s="125" t="s">
        <v>185</v>
      </c>
      <c r="D16" s="125" t="s">
        <v>186</v>
      </c>
      <c r="E16" s="125" t="s">
        <v>189</v>
      </c>
      <c r="G16" s="249" t="str">
        <f>IF(AND(ISNUMBER(B9),SUM(C18:C21)&gt;B9),"Atención: la suma de las deyecciones ganaderas no puede ser superior a la cantidad tratada en el proceso","")</f>
        <v/>
      </c>
      <c r="H16" s="249"/>
      <c r="I16" s="249"/>
      <c r="J16" s="249"/>
      <c r="K16" s="249"/>
      <c r="L16" s="249"/>
      <c r="M16" s="249"/>
      <c r="N16" s="249"/>
      <c r="O16" s="249"/>
    </row>
    <row r="17" spans="1:15" ht="15" customHeight="1" x14ac:dyDescent="0.25">
      <c r="B17" s="208"/>
      <c r="C17" s="125" t="s">
        <v>103</v>
      </c>
      <c r="D17" s="125" t="s">
        <v>190</v>
      </c>
      <c r="E17" s="125" t="s">
        <v>103</v>
      </c>
    </row>
    <row r="18" spans="1:15" ht="17.25" customHeight="1" x14ac:dyDescent="0.25">
      <c r="B18" s="125" t="s">
        <v>181</v>
      </c>
      <c r="C18" s="177"/>
      <c r="D18" s="178"/>
      <c r="E18" s="123">
        <f>C18-C18*D18</f>
        <v>0</v>
      </c>
      <c r="I18" s="137" t="s">
        <v>124</v>
      </c>
      <c r="J18" s="224" t="s">
        <v>168</v>
      </c>
      <c r="K18" s="224"/>
      <c r="L18" s="224"/>
      <c r="M18" s="224"/>
      <c r="N18" s="224"/>
      <c r="O18" s="224"/>
    </row>
    <row r="19" spans="1:15" ht="17.25" customHeight="1" x14ac:dyDescent="0.25">
      <c r="B19" s="125" t="s">
        <v>180</v>
      </c>
      <c r="C19" s="177"/>
      <c r="D19" s="178"/>
      <c r="E19" s="123">
        <f t="shared" ref="E19:E21" si="0">C19-C19*D19</f>
        <v>0</v>
      </c>
      <c r="I19" s="137"/>
      <c r="J19" s="224"/>
      <c r="K19" s="224"/>
      <c r="L19" s="224"/>
      <c r="M19" s="224"/>
      <c r="N19" s="224"/>
      <c r="O19" s="224"/>
    </row>
    <row r="20" spans="1:15" ht="17.25" customHeight="1" x14ac:dyDescent="0.25">
      <c r="B20" s="125" t="s">
        <v>182</v>
      </c>
      <c r="C20" s="177"/>
      <c r="D20" s="178"/>
      <c r="E20" s="123">
        <f t="shared" si="0"/>
        <v>0</v>
      </c>
      <c r="I20" s="138"/>
      <c r="J20" s="224" t="s">
        <v>125</v>
      </c>
      <c r="K20" s="224"/>
      <c r="L20" s="224"/>
      <c r="M20" s="224"/>
      <c r="N20" s="224"/>
      <c r="O20" s="224"/>
    </row>
    <row r="21" spans="1:15" ht="17.25" customHeight="1" x14ac:dyDescent="0.25">
      <c r="B21" s="125" t="s">
        <v>184</v>
      </c>
      <c r="C21" s="177"/>
      <c r="D21" s="178"/>
      <c r="E21" s="123">
        <f t="shared" si="0"/>
        <v>0</v>
      </c>
      <c r="I21" s="137" t="s">
        <v>195</v>
      </c>
      <c r="J21" s="224"/>
      <c r="K21" s="224"/>
      <c r="L21" s="224"/>
      <c r="M21" s="224"/>
      <c r="N21" s="224"/>
      <c r="O21" s="224"/>
    </row>
    <row r="22" spans="1:15" x14ac:dyDescent="0.25">
      <c r="I22" s="138"/>
      <c r="J22" s="224"/>
      <c r="K22" s="224"/>
      <c r="L22" s="224"/>
      <c r="M22" s="224"/>
      <c r="N22" s="224"/>
      <c r="O22" s="224"/>
    </row>
    <row r="23" spans="1:15" x14ac:dyDescent="0.25">
      <c r="B23" s="4" t="s">
        <v>163</v>
      </c>
      <c r="I23" s="138"/>
      <c r="J23" s="224"/>
      <c r="K23" s="224"/>
      <c r="L23" s="224"/>
      <c r="M23" s="224"/>
      <c r="N23" s="224"/>
      <c r="O23" s="224"/>
    </row>
    <row r="24" spans="1:15" ht="5.25" customHeight="1" x14ac:dyDescent="0.25">
      <c r="B24" s="4"/>
      <c r="I24" s="138"/>
      <c r="J24" s="224"/>
      <c r="K24" s="224"/>
      <c r="L24" s="224"/>
      <c r="M24" s="224"/>
      <c r="N24" s="224"/>
      <c r="O24" s="224"/>
    </row>
    <row r="25" spans="1:15" ht="15" customHeight="1" x14ac:dyDescent="0.25">
      <c r="A25" s="135" t="s">
        <v>194</v>
      </c>
      <c r="B25" s="217" t="s">
        <v>89</v>
      </c>
      <c r="C25" s="218"/>
      <c r="D25" s="218"/>
      <c r="E25" s="218"/>
      <c r="F25" s="219"/>
    </row>
    <row r="26" spans="1:15" ht="15" customHeight="1" x14ac:dyDescent="0.25">
      <c r="A26" s="135"/>
      <c r="B26" s="220"/>
      <c r="C26" s="221"/>
      <c r="D26" s="221"/>
      <c r="E26" s="221"/>
      <c r="F26" s="208"/>
    </row>
    <row r="27" spans="1:15" ht="15" customHeight="1" x14ac:dyDescent="0.25">
      <c r="A27" s="136"/>
      <c r="B27" s="217" t="s">
        <v>169</v>
      </c>
      <c r="C27" s="219"/>
      <c r="D27" s="216" t="s">
        <v>94</v>
      </c>
      <c r="E27" s="216" t="s">
        <v>93</v>
      </c>
      <c r="F27" s="216" t="s">
        <v>92</v>
      </c>
    </row>
    <row r="28" spans="1:15" ht="15" customHeight="1" x14ac:dyDescent="0.25">
      <c r="B28" s="222"/>
      <c r="C28" s="207"/>
      <c r="D28" s="216"/>
      <c r="E28" s="216"/>
      <c r="F28" s="216"/>
    </row>
    <row r="29" spans="1:15" ht="15" customHeight="1" x14ac:dyDescent="0.25">
      <c r="B29" s="222"/>
      <c r="C29" s="207"/>
      <c r="D29" s="216"/>
      <c r="E29" s="216"/>
      <c r="F29" s="216"/>
    </row>
    <row r="30" spans="1:15" ht="15" customHeight="1" x14ac:dyDescent="0.25">
      <c r="B30" s="220"/>
      <c r="C30" s="208"/>
      <c r="D30" s="175"/>
      <c r="E30" s="175"/>
      <c r="F30" s="175"/>
    </row>
    <row r="32" spans="1:15" ht="15.75" x14ac:dyDescent="0.25">
      <c r="B32" s="82" t="s">
        <v>183</v>
      </c>
    </row>
    <row r="34" spans="2:16" x14ac:dyDescent="0.25">
      <c r="B34" s="205" t="s">
        <v>179</v>
      </c>
      <c r="C34" s="205" t="s">
        <v>191</v>
      </c>
      <c r="D34" s="194" t="s">
        <v>40</v>
      </c>
      <c r="E34" s="196"/>
      <c r="F34" s="196"/>
      <c r="G34" s="196"/>
      <c r="H34" s="196"/>
      <c r="I34" s="195"/>
      <c r="J34" s="194" t="s">
        <v>12</v>
      </c>
      <c r="K34" s="196"/>
      <c r="L34" s="196"/>
      <c r="M34" s="195"/>
      <c r="N34" s="194" t="s">
        <v>170</v>
      </c>
      <c r="O34" s="196"/>
      <c r="P34" s="195"/>
    </row>
    <row r="35" spans="2:16" ht="28.5" customHeight="1" x14ac:dyDescent="0.25">
      <c r="B35" s="206"/>
      <c r="C35" s="206"/>
      <c r="D35" s="126" t="s">
        <v>192</v>
      </c>
      <c r="E35" s="194" t="s">
        <v>199</v>
      </c>
      <c r="F35" s="195"/>
      <c r="G35" s="127" t="s">
        <v>193</v>
      </c>
      <c r="H35" s="139" t="s">
        <v>198</v>
      </c>
      <c r="I35" s="140" t="s">
        <v>200</v>
      </c>
      <c r="J35" s="167" t="s">
        <v>232</v>
      </c>
      <c r="K35" s="167" t="s">
        <v>233</v>
      </c>
      <c r="L35" s="167" t="s">
        <v>234</v>
      </c>
      <c r="M35" s="168" t="s">
        <v>200</v>
      </c>
      <c r="N35" s="194" t="s">
        <v>197</v>
      </c>
      <c r="O35" s="195"/>
      <c r="P35" s="140" t="s">
        <v>201</v>
      </c>
    </row>
    <row r="36" spans="2:16" x14ac:dyDescent="0.25">
      <c r="B36" s="126" t="s">
        <v>181</v>
      </c>
      <c r="C36" s="141">
        <f>E18</f>
        <v>0</v>
      </c>
      <c r="D36" s="83">
        <f>0.36845133251847</f>
        <v>0.36845133251847001</v>
      </c>
      <c r="E36" s="201">
        <v>1.4999999999999999E-2</v>
      </c>
      <c r="F36" s="202"/>
      <c r="G36" s="134">
        <f>D36*C36*1000*E36</f>
        <v>0</v>
      </c>
      <c r="H36" s="134">
        <f>G36*0.67</f>
        <v>0</v>
      </c>
      <c r="I36" s="130">
        <f>H36*25/1000</f>
        <v>0</v>
      </c>
      <c r="J36" s="173">
        <v>1E-3</v>
      </c>
      <c r="K36" s="172">
        <f>IF(ISNUMBER($F$7*'Emisiones línea proyecto (EP)'!$E$11*J36*C18/SUM($C$18:$C$21)),$F$7*'Emisiones línea proyecto (EP)'!$E$11*J36*C18/SUM($C$18:$C$21),0)</f>
        <v>0</v>
      </c>
      <c r="L36" s="172">
        <f>K36*44/28</f>
        <v>0</v>
      </c>
      <c r="M36" s="172">
        <f>L36*298</f>
        <v>0</v>
      </c>
      <c r="N36" s="197">
        <v>0.22810000000000002</v>
      </c>
      <c r="O36" s="198"/>
      <c r="P36" s="130">
        <f>IF(ISNUMBER($F$7*'Emisiones línea proyecto (EP)'!$E$11*N36*C18/SUM($C$18:$C$21)),$F$7*'Emisiones línea proyecto (EP)'!$E$11*N36*C18/SUM($C$18:$C$21),0)</f>
        <v>0</v>
      </c>
    </row>
    <row r="37" spans="2:16" x14ac:dyDescent="0.25">
      <c r="B37" s="126" t="s">
        <v>180</v>
      </c>
      <c r="C37" s="141">
        <f t="shared" ref="C37:C39" si="1">E19</f>
        <v>0</v>
      </c>
      <c r="D37" s="63">
        <f>0.21</f>
        <v>0.21</v>
      </c>
      <c r="E37" s="201">
        <v>0.1166</v>
      </c>
      <c r="F37" s="202"/>
      <c r="G37" s="134">
        <f t="shared" ref="G37:G38" si="2">D37*C37*1000*E37</f>
        <v>0</v>
      </c>
      <c r="H37" s="134">
        <f t="shared" ref="H37:H38" si="3">G37*0.67</f>
        <v>0</v>
      </c>
      <c r="I37" s="130">
        <f t="shared" ref="I37:I39" si="4">H37*25/1000</f>
        <v>0</v>
      </c>
      <c r="J37" s="173">
        <v>7.0000000000000001E-3</v>
      </c>
      <c r="K37" s="172">
        <f>IF(ISNUMBER($F$7*'Emisiones línea proyecto (EP)'!$E$11*J37*C19/SUM($C$18:$C$21)),$F$7*'Emisiones línea proyecto (EP)'!$E$11*J37*C19/SUM($C$18:$C$21),0)</f>
        <v>0</v>
      </c>
      <c r="L37" s="172">
        <f t="shared" ref="L37:L39" si="5">K37*44/28</f>
        <v>0</v>
      </c>
      <c r="M37" s="172">
        <f t="shared" ref="M37:M39" si="6">L37*298</f>
        <v>0</v>
      </c>
      <c r="N37" s="197">
        <v>0.15099000000000001</v>
      </c>
      <c r="O37" s="198"/>
      <c r="P37" s="130">
        <f>IF(ISNUMBER($F$7*'Emisiones línea proyecto (EP)'!$E$11*N37*C19/SUM($C$18:$C$21)),$F$7*'Emisiones línea proyecto (EP)'!$E$11*N37*C19/SUM($C$18:$C$21),0)</f>
        <v>0</v>
      </c>
    </row>
    <row r="38" spans="2:16" x14ac:dyDescent="0.25">
      <c r="B38" s="126" t="s">
        <v>182</v>
      </c>
      <c r="C38" s="141">
        <f t="shared" si="1"/>
        <v>0</v>
      </c>
      <c r="D38" s="83">
        <v>0.19</v>
      </c>
      <c r="E38" s="201">
        <v>3.0700000000000002E-2</v>
      </c>
      <c r="F38" s="202"/>
      <c r="G38" s="134">
        <f t="shared" si="2"/>
        <v>0</v>
      </c>
      <c r="H38" s="134">
        <f t="shared" si="3"/>
        <v>0</v>
      </c>
      <c r="I38" s="130">
        <f t="shared" si="4"/>
        <v>0</v>
      </c>
      <c r="J38" s="173">
        <v>1.2999999999999999E-2</v>
      </c>
      <c r="K38" s="172">
        <f>IF(ISNUMBER($F$7*'Emisiones línea proyecto (EP)'!$E$11*J38*C20/SUM($C$18:$C$21)),$F$7*'Emisiones línea proyecto (EP)'!$E$11*J38*C20/SUM($C$18:$C$21),0)</f>
        <v>0</v>
      </c>
      <c r="L38" s="172">
        <f t="shared" si="5"/>
        <v>0</v>
      </c>
      <c r="M38" s="172">
        <f t="shared" si="6"/>
        <v>0</v>
      </c>
      <c r="N38" s="197">
        <v>0.1</v>
      </c>
      <c r="O38" s="198"/>
      <c r="P38" s="130">
        <f>IF(ISNUMBER($F$7*'Emisiones línea proyecto (EP)'!$E$11*N38*C20/SUM($C$18:$C$21)),$F$7*'Emisiones línea proyecto (EP)'!$E$11*N38*C20/SUM($C$18:$C$21),0)</f>
        <v>0</v>
      </c>
    </row>
    <row r="39" spans="2:16" x14ac:dyDescent="0.25">
      <c r="B39" s="126" t="s">
        <v>184</v>
      </c>
      <c r="C39" s="141">
        <f t="shared" si="1"/>
        <v>0</v>
      </c>
      <c r="D39" s="63">
        <f>0.45</f>
        <v>0.45</v>
      </c>
      <c r="E39" s="203"/>
      <c r="F39" s="204"/>
      <c r="G39" s="134">
        <f>D39*C39*1000*E39</f>
        <v>0</v>
      </c>
      <c r="H39" s="134">
        <f>G39*0.67</f>
        <v>0</v>
      </c>
      <c r="I39" s="130">
        <f t="shared" si="4"/>
        <v>0</v>
      </c>
      <c r="J39" s="186"/>
      <c r="K39" s="172">
        <f>IF(ISNUMBER($F$7*'Emisiones línea proyecto (EP)'!$E$11*J39*C21/SUM($C$18:$C$21)),$F$7*'Emisiones línea proyecto (EP)'!$E$11*J39*C21/SUM($C$18:$C$21),0)</f>
        <v>0</v>
      </c>
      <c r="L39" s="172">
        <f t="shared" si="5"/>
        <v>0</v>
      </c>
      <c r="M39" s="172">
        <f t="shared" si="6"/>
        <v>0</v>
      </c>
      <c r="N39" s="192"/>
      <c r="O39" s="193"/>
      <c r="P39" s="130">
        <f>IF(ISNUMBER($F$7*'Emisiones línea proyecto (EP)'!$E$11*N39*C21/SUM($C$18:$C$21)),$F$7*'Emisiones línea proyecto (EP)'!$E$11*N39*C21/SUM($C$18:$C$21),0)</f>
        <v>0</v>
      </c>
    </row>
    <row r="40" spans="2:16" x14ac:dyDescent="0.25">
      <c r="H40" s="145" t="s">
        <v>48</v>
      </c>
      <c r="I40" s="103">
        <f>SUM(I36:I39)</f>
        <v>0</v>
      </c>
      <c r="L40" s="145" t="s">
        <v>48</v>
      </c>
      <c r="M40" s="103">
        <f>SUM(M36:M39)</f>
        <v>0</v>
      </c>
      <c r="O40" s="145" t="s">
        <v>48</v>
      </c>
      <c r="P40" s="103">
        <f>SUM(P36:P39)</f>
        <v>0</v>
      </c>
    </row>
    <row r="42" spans="2:16" ht="15.75" x14ac:dyDescent="0.25">
      <c r="B42" s="82" t="s">
        <v>136</v>
      </c>
    </row>
    <row r="43" spans="2:16" x14ac:dyDescent="0.25">
      <c r="B43" s="5"/>
    </row>
    <row r="44" spans="2:16" x14ac:dyDescent="0.25">
      <c r="B44" s="205" t="s">
        <v>17</v>
      </c>
      <c r="C44" s="242" t="s">
        <v>170</v>
      </c>
      <c r="D44" s="243"/>
      <c r="E44" s="244"/>
      <c r="F44" s="242" t="s">
        <v>24</v>
      </c>
      <c r="G44" s="243"/>
      <c r="H44" s="244"/>
      <c r="I44" s="242" t="s">
        <v>25</v>
      </c>
      <c r="J44" s="243"/>
      <c r="K44" s="243"/>
      <c r="L44" s="243"/>
      <c r="M44" s="244"/>
    </row>
    <row r="45" spans="2:16" ht="30" x14ac:dyDescent="0.25">
      <c r="B45" s="206"/>
      <c r="C45" s="124" t="s">
        <v>0</v>
      </c>
      <c r="D45" s="213" t="s">
        <v>1</v>
      </c>
      <c r="E45" s="213"/>
      <c r="F45" s="124" t="s">
        <v>0</v>
      </c>
      <c r="G45" s="213" t="s">
        <v>1</v>
      </c>
      <c r="H45" s="213"/>
      <c r="I45" s="124" t="s">
        <v>11</v>
      </c>
      <c r="J45" s="124" t="s">
        <v>0</v>
      </c>
      <c r="K45" s="213" t="s">
        <v>1</v>
      </c>
      <c r="L45" s="213"/>
      <c r="M45" s="213"/>
    </row>
    <row r="46" spans="2:16" ht="30" x14ac:dyDescent="0.25">
      <c r="B46" s="124" t="s">
        <v>171</v>
      </c>
      <c r="C46" s="124" t="s">
        <v>172</v>
      </c>
      <c r="D46" s="124" t="s">
        <v>173</v>
      </c>
      <c r="E46" s="124" t="s">
        <v>174</v>
      </c>
      <c r="F46" s="124" t="s">
        <v>10</v>
      </c>
      <c r="G46" s="124" t="s">
        <v>7</v>
      </c>
      <c r="H46" s="124" t="s">
        <v>8</v>
      </c>
      <c r="I46" s="124" t="s">
        <v>3</v>
      </c>
      <c r="J46" s="124" t="s">
        <v>2</v>
      </c>
      <c r="K46" s="124" t="s">
        <v>6</v>
      </c>
      <c r="L46" s="124" t="s">
        <v>4</v>
      </c>
      <c r="M46" s="124" t="s">
        <v>5</v>
      </c>
    </row>
    <row r="47" spans="2:16" x14ac:dyDescent="0.25">
      <c r="B47" s="63">
        <f>IF(ISNUMBER(F7*'Emisiones línea proyecto (EP)'!E11),F7*'Emisiones línea proyecto (EP)'!E11-P40-SUM(K36:K39),0)</f>
        <v>0</v>
      </c>
      <c r="C47" s="43">
        <v>0.2</v>
      </c>
      <c r="D47" s="63">
        <f>B47*C47</f>
        <v>0</v>
      </c>
      <c r="E47" s="65">
        <f>D47*(17/14)</f>
        <v>0</v>
      </c>
      <c r="F47" s="43">
        <v>3.0000000000000001E-3</v>
      </c>
      <c r="G47" s="63">
        <f>B47*F47</f>
        <v>0</v>
      </c>
      <c r="H47" s="65">
        <f>G47*(46/14)</f>
        <v>0</v>
      </c>
      <c r="I47" s="63">
        <f>B47-D47-G47</f>
        <v>0</v>
      </c>
      <c r="J47" s="64">
        <v>1.2500000000000001E-2</v>
      </c>
      <c r="K47" s="64">
        <f>I47*J47</f>
        <v>0</v>
      </c>
      <c r="L47" s="63">
        <f>K47*(44/28)</f>
        <v>0</v>
      </c>
      <c r="M47" s="103">
        <f>L47*298</f>
        <v>0</v>
      </c>
    </row>
    <row r="49" spans="1:21" x14ac:dyDescent="0.25">
      <c r="B49" s="242" t="s">
        <v>26</v>
      </c>
      <c r="C49" s="243"/>
      <c r="D49" s="243"/>
      <c r="E49" s="243"/>
      <c r="F49" s="243"/>
      <c r="G49" s="243"/>
      <c r="H49" s="243"/>
      <c r="I49" s="243"/>
      <c r="J49" s="243"/>
      <c r="K49" s="244"/>
    </row>
    <row r="50" spans="1:21" ht="15" customHeight="1" x14ac:dyDescent="0.25">
      <c r="B50" s="213" t="s">
        <v>14</v>
      </c>
      <c r="C50" s="213"/>
      <c r="D50" s="213"/>
      <c r="E50" s="194" t="s">
        <v>14</v>
      </c>
      <c r="F50" s="196"/>
      <c r="G50" s="196"/>
      <c r="H50" s="195"/>
      <c r="I50" s="213" t="s">
        <v>15</v>
      </c>
      <c r="J50" s="213"/>
      <c r="K50" s="213"/>
    </row>
    <row r="51" spans="1:21" ht="15" customHeight="1" x14ac:dyDescent="0.25">
      <c r="B51" s="91" t="s">
        <v>16</v>
      </c>
      <c r="C51" s="91" t="s">
        <v>0</v>
      </c>
      <c r="D51" s="91" t="s">
        <v>1</v>
      </c>
      <c r="E51" s="91" t="s">
        <v>17</v>
      </c>
      <c r="F51" s="91" t="s">
        <v>18</v>
      </c>
      <c r="G51" s="91" t="s">
        <v>0</v>
      </c>
      <c r="H51" s="91" t="s">
        <v>1</v>
      </c>
      <c r="I51" s="213" t="s">
        <v>1</v>
      </c>
      <c r="J51" s="213"/>
      <c r="K51" s="213"/>
    </row>
    <row r="52" spans="1:21" ht="30" x14ac:dyDescent="0.25">
      <c r="B52" s="91" t="s">
        <v>3</v>
      </c>
      <c r="C52" s="91" t="s">
        <v>19</v>
      </c>
      <c r="D52" s="91" t="s">
        <v>6</v>
      </c>
      <c r="E52" s="91" t="s">
        <v>3</v>
      </c>
      <c r="F52" s="142" t="s">
        <v>20</v>
      </c>
      <c r="G52" s="91" t="s">
        <v>19</v>
      </c>
      <c r="H52" s="91" t="s">
        <v>6</v>
      </c>
      <c r="I52" s="91" t="s">
        <v>6</v>
      </c>
      <c r="J52" s="91" t="s">
        <v>4</v>
      </c>
      <c r="K52" s="91" t="s">
        <v>5</v>
      </c>
    </row>
    <row r="53" spans="1:21" x14ac:dyDescent="0.25">
      <c r="B53" s="63">
        <f>D47+G47</f>
        <v>0</v>
      </c>
      <c r="C53" s="43">
        <v>0.01</v>
      </c>
      <c r="D53" s="64">
        <f>B53*C53</f>
        <v>0</v>
      </c>
      <c r="E53" s="63">
        <f>B47</f>
        <v>0</v>
      </c>
      <c r="F53" s="63">
        <v>0.3</v>
      </c>
      <c r="G53" s="43">
        <v>2.5000000000000001E-2</v>
      </c>
      <c r="H53" s="64">
        <f>E53*F53*G53</f>
        <v>0</v>
      </c>
      <c r="I53" s="64">
        <f>H53+D53</f>
        <v>0</v>
      </c>
      <c r="J53" s="63">
        <f>I53*(44/28)</f>
        <v>0</v>
      </c>
      <c r="K53" s="103">
        <f>J53*298</f>
        <v>0</v>
      </c>
    </row>
    <row r="56" spans="1:21" ht="15.75" x14ac:dyDescent="0.25">
      <c r="B56" s="82" t="s">
        <v>135</v>
      </c>
    </row>
    <row r="57" spans="1:21" ht="15" customHeight="1" x14ac:dyDescent="0.25">
      <c r="L57" s="7"/>
      <c r="M57" s="7"/>
      <c r="N57" s="8"/>
      <c r="Q57" s="8"/>
      <c r="R57" s="8"/>
      <c r="S57" s="8"/>
    </row>
    <row r="58" spans="1:21" ht="22.5" customHeight="1" x14ac:dyDescent="0.25">
      <c r="D58" s="194" t="s">
        <v>45</v>
      </c>
      <c r="E58" s="196"/>
      <c r="F58" s="196"/>
      <c r="G58" s="196"/>
      <c r="H58" s="195"/>
      <c r="I58" s="205" t="s">
        <v>46</v>
      </c>
      <c r="J58" s="205" t="s">
        <v>47</v>
      </c>
      <c r="K58" s="205" t="s">
        <v>48</v>
      </c>
      <c r="L58" s="7"/>
      <c r="M58" s="7"/>
      <c r="N58" s="8"/>
      <c r="Q58" s="8"/>
      <c r="R58" s="8"/>
      <c r="S58" s="8"/>
    </row>
    <row r="59" spans="1:21" ht="30" x14ac:dyDescent="0.25">
      <c r="D59" s="91" t="s">
        <v>49</v>
      </c>
      <c r="E59" s="213" t="s">
        <v>50</v>
      </c>
      <c r="F59" s="213"/>
      <c r="G59" s="91" t="s">
        <v>51</v>
      </c>
      <c r="H59" s="91" t="s">
        <v>52</v>
      </c>
      <c r="I59" s="206"/>
      <c r="J59" s="206"/>
      <c r="K59" s="206"/>
      <c r="L59" s="7"/>
      <c r="M59" s="7"/>
      <c r="N59" s="8"/>
      <c r="Q59" s="8"/>
      <c r="R59" s="8"/>
      <c r="S59" s="8"/>
    </row>
    <row r="60" spans="1:21" x14ac:dyDescent="0.25">
      <c r="B60" s="200" t="s">
        <v>137</v>
      </c>
      <c r="C60" s="200"/>
      <c r="D60" s="70">
        <f>IF(ISNUMBER(VLOOKUP(D59,'Listas calculos'!$B$52:$C$53,2,FALSE)),VLOOKUP(D59,'Listas calculos'!$B$52:$C$53,2,FALSE),0)</f>
        <v>0</v>
      </c>
      <c r="E60" s="214">
        <f>IF(ISNUMBER(VLOOKUP(E59,'Listas calculos'!$B$52:$C$53,2,FALSE)),VLOOKUP(E59,'Listas calculos'!$B$52:$C$53,2,FALSE),0)</f>
        <v>0</v>
      </c>
      <c r="F60" s="215"/>
      <c r="G60" s="70">
        <f>IF(ISNUMBER(VLOOKUP(G59,'Listas calculos'!$B$52:$C$53,2,FALSE)),VLOOKUP(G59,'Listas calculos'!$B$52:$C$53,2,FALSE),0)</f>
        <v>0</v>
      </c>
      <c r="H60" s="70">
        <f>IF(ISNUMBER(VLOOKUP(H59,'Listas calculos'!$B$52:$C$53,2,FALSE)),VLOOKUP(H59,'Listas calculos'!$B$52:$C$53,2,FALSE),0)</f>
        <v>0</v>
      </c>
      <c r="I60" s="70">
        <f>IF(ISNUMBER(VLOOKUP(I59,'Listas calculos'!$B$52:$C$53,2,FALSE)),VLOOKUP(I59,'Listas calculos'!$B$52:$C$53,2,FALSE),0)</f>
        <v>0</v>
      </c>
      <c r="J60" s="70">
        <f>IF(ISNUMBER(VLOOKUP(J59,'Listas calculos'!$B$52:$C$53,2,FALSE)),VLOOKUP(J59,'Listas calculos'!$B$52:$C$53,2,FALSE),0)</f>
        <v>0</v>
      </c>
      <c r="K60" s="71">
        <f>SUM(D60:J60)</f>
        <v>0</v>
      </c>
      <c r="L60" s="7"/>
      <c r="M60" s="7"/>
      <c r="N60" s="8"/>
      <c r="Q60" s="9"/>
      <c r="R60" s="8"/>
      <c r="S60" s="8"/>
    </row>
    <row r="61" spans="1:21" x14ac:dyDescent="0.25">
      <c r="B61" s="200" t="s">
        <v>138</v>
      </c>
      <c r="C61" s="200"/>
      <c r="D61" s="71">
        <f>(D60*1*0.4*0.55*0.5*16/12)</f>
        <v>0</v>
      </c>
      <c r="E61" s="209">
        <f>(E60*1*0.17*0.55*0.5*16/12)</f>
        <v>0</v>
      </c>
      <c r="F61" s="210"/>
      <c r="G61" s="71">
        <f>(G60*1*0.15*0.55*0.5*16/12)</f>
        <v>0</v>
      </c>
      <c r="H61" s="71">
        <f>(H60*1*0.3*0.55*0.5*16/12)</f>
        <v>0</v>
      </c>
      <c r="I61" s="71">
        <f>(I60*1*0.2*0.55*0.5*16/12)</f>
        <v>0</v>
      </c>
      <c r="J61" s="71">
        <f>(J60*1*0.175*0.55*0.5*16/12)</f>
        <v>0</v>
      </c>
      <c r="K61" s="71">
        <f>SUM(D61:J61)</f>
        <v>0</v>
      </c>
      <c r="L61" s="7"/>
      <c r="M61" s="7"/>
      <c r="N61" s="8"/>
      <c r="O61" s="8"/>
      <c r="Q61" s="8"/>
      <c r="R61" s="8"/>
      <c r="S61" s="8"/>
    </row>
    <row r="62" spans="1:21" x14ac:dyDescent="0.25">
      <c r="B62" s="200" t="s">
        <v>139</v>
      </c>
      <c r="C62" s="200"/>
      <c r="D62" s="72">
        <f>D61*(EXP(-0.05*(0))-EXP(-0.05*(4)))</f>
        <v>0</v>
      </c>
      <c r="E62" s="211">
        <f>E61*(EXP(-0.05*(0))-EXP(-0.05*(4)))</f>
        <v>0</v>
      </c>
      <c r="F62" s="212"/>
      <c r="G62" s="72">
        <f>G61*(EXP(-0.05*(0))-EXP(-0.05*(4)))</f>
        <v>0</v>
      </c>
      <c r="H62" s="72">
        <f>H61*(EXP(-0.05*(0))-EXP(-0.05*(4)))</f>
        <v>0</v>
      </c>
      <c r="I62" s="72">
        <f>I61*(EXP(-0.05*(0))-EXP(-0.05*(4)))</f>
        <v>0</v>
      </c>
      <c r="J62" s="72">
        <f>J61*(EXP(-0.05*(0))-EXP(-0.05*(4)))</f>
        <v>0</v>
      </c>
      <c r="K62" s="71">
        <f>SUM(D62:J62)</f>
        <v>0</v>
      </c>
      <c r="L62" s="46"/>
      <c r="M62" s="7"/>
      <c r="N62" s="8"/>
      <c r="O62" s="8"/>
      <c r="Q62" s="8"/>
      <c r="R62" s="11"/>
      <c r="S62" s="11"/>
    </row>
    <row r="63" spans="1:21" x14ac:dyDescent="0.25">
      <c r="A63" s="7"/>
      <c r="B63" s="7"/>
      <c r="C63" s="7"/>
      <c r="D63" s="73"/>
      <c r="E63" s="73"/>
      <c r="F63" s="73"/>
      <c r="G63" s="73"/>
      <c r="H63" s="73"/>
      <c r="I63" s="73"/>
      <c r="J63" s="73"/>
      <c r="K63" s="73"/>
      <c r="L63" s="38"/>
      <c r="M63" s="38"/>
      <c r="N63" s="10"/>
      <c r="O63" s="10"/>
      <c r="P63" s="8"/>
      <c r="Q63" s="8"/>
      <c r="S63" s="8"/>
      <c r="T63" s="8"/>
      <c r="U63" s="8"/>
    </row>
    <row r="64" spans="1:21" x14ac:dyDescent="0.25">
      <c r="A64" s="7"/>
      <c r="B64" s="7"/>
      <c r="C64" s="7"/>
      <c r="D64" s="46"/>
      <c r="E64" s="46"/>
      <c r="F64" s="46"/>
      <c r="G64" s="46"/>
      <c r="H64" s="46"/>
      <c r="I64" s="46"/>
      <c r="J64" s="46"/>
      <c r="K64" s="38"/>
      <c r="L64" s="38"/>
      <c r="M64" s="38"/>
      <c r="N64" s="10"/>
      <c r="O64" s="10"/>
      <c r="P64" s="8"/>
      <c r="Q64" s="8"/>
      <c r="S64" s="8"/>
      <c r="T64" s="8"/>
      <c r="U64" s="8"/>
    </row>
    <row r="65" spans="1:21" x14ac:dyDescent="0.25">
      <c r="A65" s="7"/>
      <c r="B65" s="7"/>
      <c r="C65" s="7"/>
      <c r="D65" s="234" t="s">
        <v>114</v>
      </c>
      <c r="E65" s="234"/>
      <c r="F65" s="234"/>
      <c r="G65" s="234"/>
      <c r="H65" s="213" t="s">
        <v>140</v>
      </c>
      <c r="I65" s="234"/>
      <c r="J65" s="234" t="s">
        <v>43</v>
      </c>
      <c r="K65" s="234"/>
      <c r="L65" s="234"/>
      <c r="M65" s="234"/>
      <c r="N65" s="10"/>
      <c r="O65" s="10"/>
      <c r="P65" s="8"/>
      <c r="Q65" s="8"/>
      <c r="S65" s="8"/>
      <c r="T65" s="8"/>
      <c r="U65" s="8"/>
    </row>
    <row r="66" spans="1:21" x14ac:dyDescent="0.25">
      <c r="B66" s="7"/>
      <c r="C66" s="74"/>
      <c r="D66" s="234"/>
      <c r="E66" s="234"/>
      <c r="F66" s="234"/>
      <c r="G66" s="234"/>
      <c r="H66" s="234"/>
      <c r="I66" s="234"/>
      <c r="J66" s="234"/>
      <c r="K66" s="234"/>
      <c r="L66" s="234"/>
      <c r="M66" s="234"/>
      <c r="N66" s="8"/>
      <c r="O66" s="8"/>
      <c r="Q66" s="8"/>
      <c r="R66" s="8"/>
      <c r="S66" s="8"/>
    </row>
    <row r="67" spans="1:21" x14ac:dyDescent="0.25">
      <c r="B67" s="7"/>
      <c r="C67" s="74"/>
      <c r="D67" s="94" t="s">
        <v>113</v>
      </c>
      <c r="E67" s="94" t="s">
        <v>61</v>
      </c>
      <c r="F67" s="94" t="s">
        <v>62</v>
      </c>
      <c r="G67" s="94" t="s">
        <v>63</v>
      </c>
      <c r="H67" s="94" t="s">
        <v>40</v>
      </c>
      <c r="I67" s="94" t="s">
        <v>12</v>
      </c>
      <c r="J67" s="94" t="s">
        <v>40</v>
      </c>
      <c r="K67" s="94" t="s">
        <v>12</v>
      </c>
      <c r="L67" s="94"/>
      <c r="M67" s="94" t="s">
        <v>44</v>
      </c>
      <c r="N67" s="8"/>
      <c r="O67" s="8"/>
      <c r="Q67" s="8"/>
      <c r="R67" s="8"/>
      <c r="S67" s="8"/>
    </row>
    <row r="68" spans="1:21" x14ac:dyDescent="0.25">
      <c r="B68" s="7"/>
      <c r="D68" s="69">
        <f>SUM(D69:D70)</f>
        <v>1</v>
      </c>
      <c r="E68" s="75">
        <f>K62/0.000716</f>
        <v>0</v>
      </c>
      <c r="F68" s="76">
        <f>E68*0.000716</f>
        <v>0</v>
      </c>
      <c r="G68" s="76">
        <f t="shared" ref="G68:G75" si="7">F68*50.18</f>
        <v>0</v>
      </c>
      <c r="H68" s="67" t="s">
        <v>115</v>
      </c>
      <c r="I68" s="67" t="s">
        <v>115</v>
      </c>
      <c r="J68" s="67" t="s">
        <v>115</v>
      </c>
      <c r="K68" s="67" t="s">
        <v>115</v>
      </c>
      <c r="L68" s="67"/>
      <c r="M68" s="67" t="s">
        <v>115</v>
      </c>
      <c r="N68" s="8"/>
      <c r="O68" s="8"/>
      <c r="Q68" s="8"/>
      <c r="R68" s="8"/>
      <c r="S68" s="8"/>
    </row>
    <row r="69" spans="1:21" x14ac:dyDescent="0.25">
      <c r="B69" s="199" t="s">
        <v>54</v>
      </c>
      <c r="C69" s="199"/>
      <c r="D69" s="77">
        <v>0.66592280204656862</v>
      </c>
      <c r="E69" s="78">
        <f>IF(D69&lt;30,0.3*E68,E68*(D69/100)*(1-0.1))</f>
        <v>0</v>
      </c>
      <c r="F69" s="79">
        <f t="shared" ref="F69:F75" si="8">E69*0.000716</f>
        <v>0</v>
      </c>
      <c r="G69" s="79">
        <f t="shared" si="7"/>
        <v>0</v>
      </c>
      <c r="H69" s="65">
        <v>1000000</v>
      </c>
      <c r="I69" s="66" t="s">
        <v>115</v>
      </c>
      <c r="J69" s="78">
        <f>E69*0.000716*(1-0.1)</f>
        <v>0</v>
      </c>
      <c r="K69" s="66" t="s">
        <v>115</v>
      </c>
      <c r="L69" s="66"/>
      <c r="M69" s="78">
        <f>(J69*25)</f>
        <v>0</v>
      </c>
      <c r="N69" s="8"/>
      <c r="P69" s="8"/>
      <c r="Q69" s="8"/>
      <c r="R69" s="8"/>
    </row>
    <row r="70" spans="1:21" x14ac:dyDescent="0.25">
      <c r="B70" s="199" t="s">
        <v>55</v>
      </c>
      <c r="C70" s="199"/>
      <c r="D70" s="77">
        <v>0.33407719795343138</v>
      </c>
      <c r="E70" s="80">
        <f>E68-E69</f>
        <v>0</v>
      </c>
      <c r="F70" s="76">
        <f t="shared" si="8"/>
        <v>0</v>
      </c>
      <c r="G70" s="76">
        <f t="shared" si="7"/>
        <v>0</v>
      </c>
      <c r="H70" s="67" t="s">
        <v>115</v>
      </c>
      <c r="I70" s="67" t="s">
        <v>115</v>
      </c>
      <c r="J70" s="67" t="s">
        <v>115</v>
      </c>
      <c r="K70" s="67" t="s">
        <v>115</v>
      </c>
      <c r="L70" s="67"/>
      <c r="M70" s="68">
        <f>SUM(M71:M75)</f>
        <v>0</v>
      </c>
      <c r="N70" s="8"/>
      <c r="O70" s="8"/>
    </row>
    <row r="71" spans="1:21" x14ac:dyDescent="0.25">
      <c r="B71" s="199" t="s">
        <v>56</v>
      </c>
      <c r="C71" s="199"/>
      <c r="D71" s="77">
        <v>3.9485576610451309E-2</v>
      </c>
      <c r="E71" s="78">
        <f>$E$68*D71/100</f>
        <v>0</v>
      </c>
      <c r="F71" s="79">
        <f t="shared" si="8"/>
        <v>0</v>
      </c>
      <c r="G71" s="79">
        <f t="shared" si="7"/>
        <v>0</v>
      </c>
      <c r="H71" s="65">
        <v>8000</v>
      </c>
      <c r="I71" s="65">
        <v>90</v>
      </c>
      <c r="J71" s="78">
        <f>($F71*H71/1000000)</f>
        <v>0</v>
      </c>
      <c r="K71" s="78">
        <f>$F71*I71/1000000</f>
        <v>0</v>
      </c>
      <c r="L71" s="78"/>
      <c r="M71" s="78">
        <f>(J71*25)+(K71*298)</f>
        <v>0</v>
      </c>
      <c r="N71" s="8"/>
      <c r="O71" s="8"/>
    </row>
    <row r="72" spans="1:21" x14ac:dyDescent="0.25">
      <c r="B72" s="199" t="s">
        <v>57</v>
      </c>
      <c r="C72" s="199"/>
      <c r="D72" s="77">
        <v>0.28997023116914117</v>
      </c>
      <c r="E72" s="78">
        <f>$E$68*D72/100</f>
        <v>0</v>
      </c>
      <c r="F72" s="79">
        <f t="shared" si="8"/>
        <v>0</v>
      </c>
      <c r="G72" s="79">
        <f t="shared" si="7"/>
        <v>0</v>
      </c>
      <c r="H72" s="65">
        <v>20000</v>
      </c>
      <c r="I72" s="65">
        <v>90</v>
      </c>
      <c r="J72" s="78">
        <f>($F72*H72/1000000)</f>
        <v>0</v>
      </c>
      <c r="K72" s="78">
        <f>$F72*I72/1000000</f>
        <v>0</v>
      </c>
      <c r="L72" s="78"/>
      <c r="M72" s="78">
        <f>(J72*25)+(K72*298)</f>
        <v>0</v>
      </c>
      <c r="N72" s="8"/>
      <c r="O72" s="8"/>
    </row>
    <row r="73" spans="1:21" x14ac:dyDescent="0.25">
      <c r="B73" s="199" t="s">
        <v>58</v>
      </c>
      <c r="C73" s="199"/>
      <c r="D73" s="77">
        <v>4.621390173838647E-3</v>
      </c>
      <c r="E73" s="78">
        <f>$E$68*D73/100</f>
        <v>0</v>
      </c>
      <c r="F73" s="79">
        <f t="shared" si="8"/>
        <v>0</v>
      </c>
      <c r="G73" s="79">
        <f t="shared" si="7"/>
        <v>0</v>
      </c>
      <c r="H73" s="65">
        <v>28000</v>
      </c>
      <c r="I73" s="65">
        <v>90</v>
      </c>
      <c r="J73" s="78">
        <f>($F73*H73/1000000)</f>
        <v>0</v>
      </c>
      <c r="K73" s="78">
        <f>$F73*I73/1000000</f>
        <v>0</v>
      </c>
      <c r="L73" s="78"/>
      <c r="M73" s="78">
        <f>(J73*25)+(K73*298)</f>
        <v>0</v>
      </c>
      <c r="N73" s="8"/>
      <c r="O73" s="8"/>
    </row>
    <row r="74" spans="1:21" x14ac:dyDescent="0.25">
      <c r="B74" s="199" t="s">
        <v>59</v>
      </c>
      <c r="C74" s="199"/>
      <c r="D74" s="77">
        <v>0</v>
      </c>
      <c r="E74" s="78">
        <f>$E$68*D74/100</f>
        <v>0</v>
      </c>
      <c r="F74" s="66">
        <f t="shared" si="8"/>
        <v>0</v>
      </c>
      <c r="G74" s="66">
        <f t="shared" si="7"/>
        <v>0</v>
      </c>
      <c r="H74" s="65">
        <v>56000</v>
      </c>
      <c r="I74" s="65">
        <v>90</v>
      </c>
      <c r="J74" s="78">
        <f>($F74*H74/1000000)</f>
        <v>0</v>
      </c>
      <c r="K74" s="78">
        <f>$F74*I74/1000000</f>
        <v>0</v>
      </c>
      <c r="L74" s="78"/>
      <c r="M74" s="78">
        <f>(J74*25)+(K74*298)</f>
        <v>0</v>
      </c>
      <c r="N74" s="8"/>
      <c r="O74" s="8"/>
    </row>
    <row r="75" spans="1:21" x14ac:dyDescent="0.25">
      <c r="B75" s="199" t="s">
        <v>60</v>
      </c>
      <c r="C75" s="199"/>
      <c r="D75" s="77">
        <v>0</v>
      </c>
      <c r="E75" s="78">
        <f>$E$68*D75/100*(1-0.1)</f>
        <v>0</v>
      </c>
      <c r="F75" s="79">
        <f t="shared" si="8"/>
        <v>0</v>
      </c>
      <c r="G75" s="79">
        <f t="shared" si="7"/>
        <v>0</v>
      </c>
      <c r="H75" s="65">
        <v>1000000</v>
      </c>
      <c r="I75" s="65">
        <v>1000000</v>
      </c>
      <c r="J75" s="78">
        <f>E75*0.000716*(1-0.1)</f>
        <v>0</v>
      </c>
      <c r="K75" s="66" t="s">
        <v>115</v>
      </c>
      <c r="L75" s="66"/>
      <c r="M75" s="78">
        <f>(J75*25)</f>
        <v>0</v>
      </c>
      <c r="N75" s="8"/>
      <c r="O75" s="8"/>
    </row>
    <row r="76" spans="1:21" x14ac:dyDescent="0.25">
      <c r="B76" s="7"/>
      <c r="D76" s="46"/>
      <c r="E76" s="46"/>
      <c r="F76" s="46"/>
      <c r="G76" s="7"/>
      <c r="H76" s="7"/>
      <c r="I76" s="7"/>
      <c r="J76" s="81">
        <f>SUM(J71:J75,J69)</f>
        <v>0</v>
      </c>
      <c r="K76" s="81">
        <f>SUM(K71:K75)</f>
        <v>0</v>
      </c>
      <c r="L76" s="81"/>
      <c r="M76" s="81">
        <f>SUM(M71:M75,M69)</f>
        <v>0</v>
      </c>
      <c r="N76" s="8"/>
      <c r="O76" s="8"/>
    </row>
    <row r="79" spans="1:21" x14ac:dyDescent="0.25">
      <c r="B79" s="4" t="s">
        <v>97</v>
      </c>
    </row>
    <row r="80" spans="1:21" x14ac:dyDescent="0.25">
      <c r="A80" s="235" t="s">
        <v>124</v>
      </c>
      <c r="B80" s="146"/>
    </row>
    <row r="81" spans="1:14" ht="45" x14ac:dyDescent="0.25">
      <c r="A81" s="236"/>
      <c r="B81" s="213" t="s">
        <v>95</v>
      </c>
      <c r="C81" s="213"/>
      <c r="D81" s="108" t="s">
        <v>94</v>
      </c>
      <c r="E81" s="108" t="s">
        <v>93</v>
      </c>
      <c r="F81" s="108" t="s">
        <v>92</v>
      </c>
      <c r="G81" s="237" t="s">
        <v>98</v>
      </c>
      <c r="H81" s="238"/>
      <c r="I81" s="98" t="s">
        <v>99</v>
      </c>
      <c r="J81" s="98" t="s">
        <v>100</v>
      </c>
      <c r="K81" s="237" t="s">
        <v>101</v>
      </c>
      <c r="L81" s="238"/>
      <c r="M81" s="237" t="s">
        <v>102</v>
      </c>
      <c r="N81" s="238"/>
    </row>
    <row r="82" spans="1:14" x14ac:dyDescent="0.25">
      <c r="B82" s="227" t="s">
        <v>90</v>
      </c>
      <c r="C82" s="227"/>
      <c r="D82" s="99">
        <f>D30</f>
        <v>0</v>
      </c>
      <c r="E82" s="99">
        <f t="shared" ref="E82:F82" si="9">E30</f>
        <v>0</v>
      </c>
      <c r="F82" s="99">
        <f t="shared" si="9"/>
        <v>0</v>
      </c>
      <c r="G82" s="228">
        <v>3.6999999999999998E-2</v>
      </c>
      <c r="H82" s="229"/>
      <c r="I82" s="100">
        <v>2.5390000000000001</v>
      </c>
      <c r="J82" s="99">
        <f>E82*F82</f>
        <v>0</v>
      </c>
      <c r="K82" s="230">
        <f>F82*E82*D82</f>
        <v>0</v>
      </c>
      <c r="L82" s="231"/>
      <c r="M82" s="232">
        <f>K82*G82*I82/1000</f>
        <v>0</v>
      </c>
      <c r="N82" s="233"/>
    </row>
    <row r="83" spans="1:14" x14ac:dyDescent="0.25">
      <c r="L83" s="101" t="s">
        <v>48</v>
      </c>
      <c r="M83" s="225">
        <f>SUM(N82:N82)</f>
        <v>0</v>
      </c>
      <c r="N83" s="226"/>
    </row>
    <row r="84" spans="1:14" ht="15.75" x14ac:dyDescent="0.25">
      <c r="B84" s="82" t="s">
        <v>141</v>
      </c>
    </row>
    <row r="86" spans="1:14" x14ac:dyDescent="0.25">
      <c r="B86" s="240" t="s">
        <v>13</v>
      </c>
      <c r="C86" s="240"/>
      <c r="D86" s="216" t="s">
        <v>1</v>
      </c>
    </row>
    <row r="87" spans="1:14" x14ac:dyDescent="0.25">
      <c r="B87" s="240"/>
      <c r="C87" s="240"/>
      <c r="D87" s="216" t="s">
        <v>5</v>
      </c>
    </row>
    <row r="88" spans="1:14" x14ac:dyDescent="0.25">
      <c r="B88" s="239" t="s">
        <v>196</v>
      </c>
      <c r="C88" s="239"/>
      <c r="D88" s="130">
        <f>I40+M40</f>
        <v>0</v>
      </c>
    </row>
    <row r="89" spans="1:14" x14ac:dyDescent="0.25">
      <c r="B89" s="239" t="s">
        <v>142</v>
      </c>
      <c r="C89" s="239"/>
      <c r="D89" s="130">
        <f>M47+K53</f>
        <v>0</v>
      </c>
    </row>
    <row r="90" spans="1:14" x14ac:dyDescent="0.25">
      <c r="B90" s="239" t="s">
        <v>143</v>
      </c>
      <c r="C90" s="239"/>
      <c r="D90" s="131">
        <f>M76</f>
        <v>0</v>
      </c>
    </row>
    <row r="91" spans="1:14" ht="23.25" x14ac:dyDescent="0.25">
      <c r="B91" s="241" t="s">
        <v>48</v>
      </c>
      <c r="C91" s="241"/>
      <c r="D91" s="84">
        <f>SUM(D88:D90)</f>
        <v>0</v>
      </c>
    </row>
  </sheetData>
  <sheetProtection algorithmName="SHA-512" hashValue="08uBceHjOb5KQM7YUsWeNDT9tfOrwgKje7mLWWP9H5SoCYREl1yIPQuG94nfwWx+8/saKr9JC1VxSn9ylS1HfA==" saltValue="Ms69cO5eyIQ+e3hx/F7inw==" spinCount="100000" sheet="1" formatCells="0" formatColumns="0" formatRows="0" insertColumns="0" insertRows="0" insertHyperlinks="0" deleteColumns="0" deleteRows="0" sort="0" autoFilter="0" pivotTables="0"/>
  <protectedRanges>
    <protectedRange sqref="F7:G7 F11:L11 C18:D21 D30:F30" name="Rango3"/>
    <protectedRange sqref="D60:J60" name="Rango1_1"/>
    <protectedRange sqref="O60" name="Rango1_2"/>
  </protectedRanges>
  <mergeCells count="87">
    <mergeCell ref="B6:C6"/>
    <mergeCell ref="I5:K5"/>
    <mergeCell ref="I6:L7"/>
    <mergeCell ref="D6:E9"/>
    <mergeCell ref="F5:G5"/>
    <mergeCell ref="F6:G6"/>
    <mergeCell ref="F7:G7"/>
    <mergeCell ref="F9:L9"/>
    <mergeCell ref="B7:C7"/>
    <mergeCell ref="J10:K10"/>
    <mergeCell ref="J11:K11"/>
    <mergeCell ref="G11:H11"/>
    <mergeCell ref="G10:H10"/>
    <mergeCell ref="J20:O24"/>
    <mergeCell ref="G16:O16"/>
    <mergeCell ref="I50:K50"/>
    <mergeCell ref="D45:E45"/>
    <mergeCell ref="B44:B45"/>
    <mergeCell ref="C44:E44"/>
    <mergeCell ref="F44:H44"/>
    <mergeCell ref="E50:H50"/>
    <mergeCell ref="B49:K49"/>
    <mergeCell ref="I44:M44"/>
    <mergeCell ref="G45:H45"/>
    <mergeCell ref="K45:M45"/>
    <mergeCell ref="I51:K51"/>
    <mergeCell ref="B69:C69"/>
    <mergeCell ref="H65:I66"/>
    <mergeCell ref="J65:M66"/>
    <mergeCell ref="I58:I59"/>
    <mergeCell ref="B62:C62"/>
    <mergeCell ref="B90:C90"/>
    <mergeCell ref="B86:C87"/>
    <mergeCell ref="B91:C91"/>
    <mergeCell ref="D86:D87"/>
    <mergeCell ref="B89:C89"/>
    <mergeCell ref="B88:C88"/>
    <mergeCell ref="A6:A7"/>
    <mergeCell ref="J18:O19"/>
    <mergeCell ref="M83:N83"/>
    <mergeCell ref="B82:C82"/>
    <mergeCell ref="G82:H82"/>
    <mergeCell ref="K82:L82"/>
    <mergeCell ref="M82:N82"/>
    <mergeCell ref="J58:J59"/>
    <mergeCell ref="K58:K59"/>
    <mergeCell ref="D65:G66"/>
    <mergeCell ref="D58:H58"/>
    <mergeCell ref="A80:A81"/>
    <mergeCell ref="B81:C81"/>
    <mergeCell ref="G81:H81"/>
    <mergeCell ref="K81:L81"/>
    <mergeCell ref="M81:N81"/>
    <mergeCell ref="B34:B35"/>
    <mergeCell ref="C34:C35"/>
    <mergeCell ref="B16:B17"/>
    <mergeCell ref="E61:F61"/>
    <mergeCell ref="E62:F62"/>
    <mergeCell ref="E59:F59"/>
    <mergeCell ref="E60:F60"/>
    <mergeCell ref="B50:D50"/>
    <mergeCell ref="D27:D29"/>
    <mergeCell ref="E27:E29"/>
    <mergeCell ref="F27:F29"/>
    <mergeCell ref="B25:F26"/>
    <mergeCell ref="B27:C30"/>
    <mergeCell ref="B75:C75"/>
    <mergeCell ref="B60:C60"/>
    <mergeCell ref="B61:C61"/>
    <mergeCell ref="B74:C74"/>
    <mergeCell ref="E36:F36"/>
    <mergeCell ref="E37:F37"/>
    <mergeCell ref="E39:F39"/>
    <mergeCell ref="E38:F38"/>
    <mergeCell ref="B70:C70"/>
    <mergeCell ref="B71:C71"/>
    <mergeCell ref="B72:C72"/>
    <mergeCell ref="B73:C73"/>
    <mergeCell ref="N39:O39"/>
    <mergeCell ref="N35:O35"/>
    <mergeCell ref="D34:I34"/>
    <mergeCell ref="E35:F35"/>
    <mergeCell ref="N36:O36"/>
    <mergeCell ref="N37:O37"/>
    <mergeCell ref="N38:O38"/>
    <mergeCell ref="N34:P34"/>
    <mergeCell ref="J34:M34"/>
  </mergeCells>
  <phoneticPr fontId="4" type="noConversion"/>
  <dataValidations count="1">
    <dataValidation type="list" allowBlank="1" showInputMessage="1" showErrorMessage="1" sqref="G11 J11:K11" xr:uid="{00000000-0002-0000-0200-000000000000}">
      <formula1>Residuos</formula1>
    </dataValidation>
  </dataValidations>
  <pageMargins left="0.23622047244094491" right="0.27559055118110237" top="0.98425196850393704" bottom="0.98425196850393704" header="0" footer="0"/>
  <pageSetup paperSize="9" scale="51" fitToHeight="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V118"/>
  <sheetViews>
    <sheetView topLeftCell="B24" zoomScaleNormal="100" zoomScaleSheetLayoutView="100" workbookViewId="0">
      <selection activeCell="P11" sqref="P11"/>
    </sheetView>
  </sheetViews>
  <sheetFormatPr baseColWidth="10" defaultColWidth="9.140625" defaultRowHeight="15" x14ac:dyDescent="0.25"/>
  <cols>
    <col min="1" max="1" width="1.85546875" style="3" customWidth="1"/>
    <col min="2" max="2" width="3" style="3" customWidth="1"/>
    <col min="3" max="3" width="13" style="3" customWidth="1"/>
    <col min="4" max="5" width="12.5703125" style="3" customWidth="1"/>
    <col min="6" max="6" width="11.7109375" style="3" customWidth="1"/>
    <col min="7" max="7" width="7.42578125" style="3" customWidth="1"/>
    <col min="8" max="8" width="7" style="3" customWidth="1"/>
    <col min="9" max="10" width="11" style="3" customWidth="1"/>
    <col min="11" max="11" width="12" style="3" customWidth="1"/>
    <col min="12" max="12" width="6.85546875" style="3" customWidth="1"/>
    <col min="13" max="13" width="7.42578125" style="3" customWidth="1"/>
    <col min="14" max="14" width="4.85546875" style="3" customWidth="1"/>
    <col min="15" max="15" width="12.7109375" style="3" customWidth="1"/>
    <col min="16" max="16" width="11.7109375" style="3" customWidth="1"/>
    <col min="17" max="18" width="12.28515625" style="3" customWidth="1"/>
    <col min="19" max="19" width="9.140625" style="3"/>
    <col min="20" max="20" width="4.42578125" style="3" customWidth="1"/>
    <col min="21" max="16384" width="9.140625" style="3"/>
  </cols>
  <sheetData>
    <row r="2" spans="2:20" ht="18.75" x14ac:dyDescent="0.3">
      <c r="B2" s="61" t="s">
        <v>28</v>
      </c>
    </row>
    <row r="3" spans="2:20" ht="6.75" customHeight="1" x14ac:dyDescent="0.25"/>
    <row r="4" spans="2:20" ht="18.75" x14ac:dyDescent="0.3">
      <c r="B4" s="58" t="s">
        <v>145</v>
      </c>
      <c r="C4" s="59"/>
      <c r="D4" s="59"/>
      <c r="E4" s="59"/>
      <c r="F4" s="59"/>
      <c r="G4" s="59"/>
      <c r="H4" s="59"/>
      <c r="I4" s="59"/>
      <c r="J4" s="59"/>
      <c r="K4" s="59"/>
      <c r="L4" s="59"/>
      <c r="M4" s="59"/>
      <c r="N4" s="59"/>
      <c r="O4" s="59"/>
      <c r="P4" s="59"/>
      <c r="Q4" s="59"/>
      <c r="R4" s="59"/>
      <c r="S4" s="59"/>
      <c r="T4" s="59"/>
    </row>
    <row r="5" spans="2:20" ht="14.1" customHeight="1" x14ac:dyDescent="0.25">
      <c r="I5" s="294" t="str">
        <f>IF(D11&lt;P11+P15+P16,"ATENCIÓN: la cantidad de N de entrada no puede ser inferior a la de salida","")</f>
        <v/>
      </c>
      <c r="J5" s="294"/>
      <c r="K5" s="294"/>
    </row>
    <row r="6" spans="2:20" ht="21" customHeight="1" x14ac:dyDescent="0.25">
      <c r="B6" s="290" t="s">
        <v>33</v>
      </c>
      <c r="C6" s="290"/>
      <c r="D6" s="290"/>
      <c r="E6" s="290"/>
      <c r="F6" s="290"/>
      <c r="G6" s="290"/>
      <c r="I6" s="294"/>
      <c r="J6" s="294"/>
      <c r="K6" s="294"/>
      <c r="N6" s="293" t="s">
        <v>35</v>
      </c>
      <c r="O6" s="293"/>
      <c r="P6" s="293"/>
      <c r="Q6" s="293"/>
      <c r="R6" s="293"/>
      <c r="S6" s="293"/>
      <c r="T6" s="293"/>
    </row>
    <row r="7" spans="2:20" ht="14.1" customHeight="1" thickBot="1" x14ac:dyDescent="0.3">
      <c r="C7" s="4"/>
      <c r="D7" s="4"/>
      <c r="E7" s="4"/>
      <c r="F7" s="4"/>
      <c r="I7" s="294" t="str">
        <f>IF(C11&lt;O11+O15+O16,"ATENCIÓN: la cantidad total de entrada no puede ser superior a la de salida","")</f>
        <v/>
      </c>
      <c r="J7" s="294"/>
      <c r="K7" s="294"/>
    </row>
    <row r="8" spans="2:20" ht="18.75" customHeight="1" thickTop="1" x14ac:dyDescent="0.25">
      <c r="B8" s="17"/>
      <c r="C8" s="18"/>
      <c r="D8" s="18"/>
      <c r="E8" s="18"/>
      <c r="F8" s="18"/>
      <c r="G8" s="19"/>
      <c r="I8" s="294"/>
      <c r="J8" s="294"/>
      <c r="K8" s="294"/>
      <c r="N8" s="26"/>
      <c r="O8" s="27"/>
      <c r="P8" s="27"/>
      <c r="Q8" s="27"/>
      <c r="R8" s="27"/>
      <c r="S8" s="27"/>
      <c r="T8" s="28"/>
    </row>
    <row r="9" spans="2:20" ht="15" customHeight="1" x14ac:dyDescent="0.25">
      <c r="B9" s="20"/>
      <c r="C9" s="217" t="s">
        <v>165</v>
      </c>
      <c r="D9" s="218"/>
      <c r="E9" s="14"/>
      <c r="F9" s="16"/>
      <c r="G9" s="21"/>
      <c r="I9" s="291" t="s">
        <v>34</v>
      </c>
      <c r="J9" s="291"/>
      <c r="K9" s="291"/>
      <c r="N9" s="29"/>
      <c r="O9" s="286" t="s">
        <v>36</v>
      </c>
      <c r="P9" s="286"/>
      <c r="Q9" s="286"/>
      <c r="R9" s="286"/>
      <c r="S9" s="7"/>
      <c r="T9" s="30"/>
    </row>
    <row r="10" spans="2:20" ht="15" customHeight="1" x14ac:dyDescent="0.25">
      <c r="B10" s="20"/>
      <c r="C10" s="15" t="s">
        <v>103</v>
      </c>
      <c r="D10" s="15" t="s">
        <v>120</v>
      </c>
      <c r="E10" s="115" t="s">
        <v>164</v>
      </c>
      <c r="G10" s="21"/>
      <c r="I10" s="291"/>
      <c r="J10" s="291"/>
      <c r="K10" s="291"/>
      <c r="N10" s="29"/>
      <c r="O10" s="15" t="s">
        <v>103</v>
      </c>
      <c r="P10" s="15" t="s">
        <v>119</v>
      </c>
      <c r="Q10" s="216" t="s">
        <v>38</v>
      </c>
      <c r="R10" s="216"/>
      <c r="S10" s="115" t="s">
        <v>164</v>
      </c>
      <c r="T10" s="30"/>
    </row>
    <row r="11" spans="2:20" ht="15" customHeight="1" x14ac:dyDescent="0.25">
      <c r="B11" s="20"/>
      <c r="C11" s="181"/>
      <c r="D11" s="182"/>
      <c r="E11" s="129" t="str">
        <f>IF(ISNUMBER(D11/C11),D11/C11,"-")</f>
        <v>-</v>
      </c>
      <c r="G11" s="21"/>
      <c r="I11" s="291"/>
      <c r="J11" s="291"/>
      <c r="K11" s="291"/>
      <c r="N11" s="29"/>
      <c r="O11" s="181"/>
      <c r="P11" s="181"/>
      <c r="Q11" s="25" t="s">
        <v>69</v>
      </c>
      <c r="R11" s="25"/>
      <c r="S11" s="129" t="str">
        <f>IF(ISNUMBER(P11/O11),P11/O11,"-")</f>
        <v>-</v>
      </c>
      <c r="T11" s="30"/>
    </row>
    <row r="12" spans="2:20" ht="15.75" customHeight="1" thickBot="1" x14ac:dyDescent="0.3">
      <c r="B12" s="20"/>
      <c r="C12" s="37" t="str">
        <f>IF(D11&gt;C11,"La cantidad de N no puede ser superior a la cantidad total","")</f>
        <v/>
      </c>
      <c r="D12" s="16"/>
      <c r="E12" s="16"/>
      <c r="F12" s="16"/>
      <c r="G12" s="21"/>
      <c r="I12" s="292"/>
      <c r="J12" s="292"/>
      <c r="K12" s="292"/>
      <c r="N12" s="29"/>
      <c r="O12" s="37" t="str">
        <f>IF(P11&gt;O11,"La cantidad de N no puede ser superior a la cantidad total de fracción líquida","")</f>
        <v/>
      </c>
      <c r="P12" s="7"/>
      <c r="Q12" s="7"/>
      <c r="R12" s="7"/>
      <c r="S12" s="7"/>
      <c r="T12" s="30"/>
    </row>
    <row r="13" spans="2:20" ht="15.75" customHeight="1" thickTop="1" x14ac:dyDescent="0.25">
      <c r="B13" s="279" t="s">
        <v>124</v>
      </c>
      <c r="C13" s="15" t="s">
        <v>41</v>
      </c>
      <c r="D13" s="16"/>
      <c r="E13" s="16"/>
      <c r="F13" s="16"/>
      <c r="G13" s="21"/>
      <c r="I13" s="295" t="s">
        <v>228</v>
      </c>
      <c r="J13" s="295"/>
      <c r="K13" s="295"/>
      <c r="N13" s="29"/>
      <c r="O13" s="260" t="s">
        <v>37</v>
      </c>
      <c r="P13" s="261"/>
      <c r="Q13" s="261"/>
      <c r="R13" s="262"/>
      <c r="S13" s="7"/>
      <c r="T13" s="30"/>
    </row>
    <row r="14" spans="2:20" ht="18.75" customHeight="1" x14ac:dyDescent="0.25">
      <c r="B14" s="279"/>
      <c r="C14" s="15" t="s">
        <v>42</v>
      </c>
      <c r="D14" s="16"/>
      <c r="E14" s="16"/>
      <c r="F14" s="16"/>
      <c r="G14" s="21"/>
      <c r="I14" s="273"/>
      <c r="J14" s="273"/>
      <c r="K14" s="273"/>
      <c r="N14" s="29"/>
      <c r="O14" s="15" t="s">
        <v>103</v>
      </c>
      <c r="P14" s="15" t="s">
        <v>120</v>
      </c>
      <c r="Q14" s="254" t="s">
        <v>38</v>
      </c>
      <c r="R14" s="255"/>
      <c r="S14" s="115" t="s">
        <v>164</v>
      </c>
      <c r="T14" s="30"/>
    </row>
    <row r="15" spans="2:20" ht="16.5" customHeight="1" x14ac:dyDescent="0.25">
      <c r="B15" s="20"/>
      <c r="C15" s="183"/>
      <c r="D15" s="16"/>
      <c r="E15" s="16"/>
      <c r="F15" s="16"/>
      <c r="G15" s="21"/>
      <c r="I15" s="280"/>
      <c r="J15" s="281"/>
      <c r="K15" s="282"/>
      <c r="N15" s="29"/>
      <c r="O15" s="181"/>
      <c r="P15" s="181"/>
      <c r="Q15" s="297" t="s">
        <v>69</v>
      </c>
      <c r="R15" s="297"/>
      <c r="S15" s="129" t="str">
        <f>IF(ISNUMBER(P15/O15),P15/O15,"-")</f>
        <v>-</v>
      </c>
      <c r="T15" s="30"/>
    </row>
    <row r="16" spans="2:20" ht="15" customHeight="1" x14ac:dyDescent="0.25">
      <c r="B16" s="20"/>
      <c r="C16" s="16"/>
      <c r="D16" s="16"/>
      <c r="E16" s="16"/>
      <c r="F16" s="16"/>
      <c r="G16" s="21"/>
      <c r="I16" s="283"/>
      <c r="J16" s="284"/>
      <c r="K16" s="285"/>
      <c r="N16" s="29"/>
      <c r="O16" s="181"/>
      <c r="P16" s="181"/>
      <c r="Q16" s="297" t="s">
        <v>64</v>
      </c>
      <c r="R16" s="297"/>
      <c r="S16" s="129" t="str">
        <f>IF(ISNUMBER(P16/O16),P16/O16,"-")</f>
        <v>-</v>
      </c>
      <c r="T16" s="30"/>
    </row>
    <row r="17" spans="2:20" x14ac:dyDescent="0.25">
      <c r="B17" s="268"/>
      <c r="C17" s="216" t="s">
        <v>229</v>
      </c>
      <c r="D17" s="216"/>
      <c r="E17" s="16"/>
      <c r="F17" s="16"/>
      <c r="G17" s="21"/>
      <c r="I17" s="283"/>
      <c r="J17" s="284"/>
      <c r="K17" s="285"/>
      <c r="N17" s="29"/>
      <c r="O17" s="37" t="str">
        <f>IF(OR(P16&gt;O16,P15&gt;O15),"La cantidad de N no puede ser superior a la cantidad total de fracción sólida","")</f>
        <v/>
      </c>
      <c r="P17" s="7"/>
      <c r="Q17" s="7"/>
      <c r="R17" s="7"/>
      <c r="S17" s="7"/>
      <c r="T17" s="30"/>
    </row>
    <row r="18" spans="2:20" ht="15" customHeight="1" x14ac:dyDescent="0.25">
      <c r="B18" s="268"/>
      <c r="C18" s="216"/>
      <c r="D18" s="216"/>
      <c r="E18" s="16"/>
      <c r="F18" s="16"/>
      <c r="G18" s="21"/>
      <c r="I18" s="283"/>
      <c r="J18" s="284"/>
      <c r="K18" s="285"/>
      <c r="N18" s="29"/>
      <c r="O18" s="286" t="s">
        <v>161</v>
      </c>
      <c r="P18" s="286"/>
      <c r="T18" s="30"/>
    </row>
    <row r="19" spans="2:20" ht="15" customHeight="1" x14ac:dyDescent="0.25">
      <c r="B19" s="20"/>
      <c r="C19" s="217" t="s">
        <v>70</v>
      </c>
      <c r="D19" s="219"/>
      <c r="E19" s="15" t="s">
        <v>53</v>
      </c>
      <c r="F19" s="16"/>
      <c r="G19" s="21"/>
      <c r="I19" s="283"/>
      <c r="J19" s="284"/>
      <c r="K19" s="285"/>
      <c r="N19" s="29"/>
      <c r="O19" s="216" t="s">
        <v>166</v>
      </c>
      <c r="P19" s="216" t="s">
        <v>167</v>
      </c>
      <c r="Q19" s="263" t="s">
        <v>231</v>
      </c>
      <c r="R19" s="264"/>
      <c r="S19" s="264"/>
      <c r="T19" s="30"/>
    </row>
    <row r="20" spans="2:20" ht="15" customHeight="1" x14ac:dyDescent="0.25">
      <c r="B20" s="20"/>
      <c r="C20" s="302"/>
      <c r="D20" s="302"/>
      <c r="E20" s="184"/>
      <c r="F20" s="16"/>
      <c r="G20" s="21"/>
      <c r="I20" s="287"/>
      <c r="J20" s="288"/>
      <c r="K20" s="289"/>
      <c r="N20" s="29"/>
      <c r="O20" s="216"/>
      <c r="P20" s="216"/>
      <c r="Q20" s="265"/>
      <c r="R20" s="264"/>
      <c r="S20" s="264"/>
      <c r="T20" s="30"/>
    </row>
    <row r="21" spans="2:20" ht="15" customHeight="1" x14ac:dyDescent="0.25">
      <c r="B21" s="20"/>
      <c r="C21" s="302"/>
      <c r="D21" s="302"/>
      <c r="E21" s="184"/>
      <c r="F21" s="16"/>
      <c r="G21" s="21"/>
      <c r="I21" s="273" t="s">
        <v>126</v>
      </c>
      <c r="J21" s="273"/>
      <c r="K21" s="273"/>
      <c r="N21" s="29"/>
      <c r="O21" s="185"/>
      <c r="P21" s="185"/>
      <c r="Q21" s="265"/>
      <c r="R21" s="264"/>
      <c r="S21" s="264"/>
      <c r="T21" s="30"/>
    </row>
    <row r="22" spans="2:20" ht="15" customHeight="1" x14ac:dyDescent="0.25">
      <c r="B22" s="20"/>
      <c r="C22" s="302"/>
      <c r="D22" s="302"/>
      <c r="E22" s="184"/>
      <c r="F22" s="16"/>
      <c r="G22" s="21"/>
      <c r="I22" s="273"/>
      <c r="J22" s="273"/>
      <c r="K22" s="273"/>
      <c r="N22" s="29"/>
      <c r="O22" s="36"/>
      <c r="P22" s="35"/>
      <c r="Q22" s="35"/>
      <c r="R22" s="7"/>
      <c r="S22" s="7"/>
      <c r="T22" s="30"/>
    </row>
    <row r="23" spans="2:20" ht="15.75" customHeight="1" x14ac:dyDescent="0.25">
      <c r="B23" s="20"/>
      <c r="C23" s="16"/>
      <c r="D23" s="16"/>
      <c r="E23" s="16"/>
      <c r="F23" s="16"/>
      <c r="G23" s="21"/>
      <c r="I23" s="296"/>
      <c r="J23" s="296"/>
      <c r="K23" s="296"/>
      <c r="N23" s="29"/>
      <c r="S23" s="7"/>
      <c r="T23" s="30"/>
    </row>
    <row r="24" spans="2:20" ht="15" customHeight="1" x14ac:dyDescent="0.25">
      <c r="B24" s="268" t="s">
        <v>124</v>
      </c>
      <c r="C24" s="216" t="s">
        <v>89</v>
      </c>
      <c r="D24" s="216"/>
      <c r="E24" s="216"/>
      <c r="F24" s="216"/>
      <c r="G24" s="21"/>
      <c r="I24" s="296"/>
      <c r="J24" s="296"/>
      <c r="K24" s="296"/>
      <c r="N24" s="270" t="s">
        <v>124</v>
      </c>
      <c r="O24" s="216" t="s">
        <v>89</v>
      </c>
      <c r="P24" s="216"/>
      <c r="Q24" s="216"/>
      <c r="R24" s="216"/>
      <c r="S24" s="7"/>
      <c r="T24" s="30"/>
    </row>
    <row r="25" spans="2:20" ht="15" customHeight="1" x14ac:dyDescent="0.25">
      <c r="B25" s="268"/>
      <c r="C25" s="216"/>
      <c r="D25" s="216"/>
      <c r="E25" s="216"/>
      <c r="F25" s="216"/>
      <c r="G25" s="21"/>
      <c r="N25" s="270"/>
      <c r="O25" s="216"/>
      <c r="P25" s="216"/>
      <c r="Q25" s="216"/>
      <c r="R25" s="216"/>
      <c r="S25" s="7"/>
      <c r="T25" s="30"/>
    </row>
    <row r="26" spans="2:20" ht="23.25" customHeight="1" x14ac:dyDescent="0.25">
      <c r="B26" s="20"/>
      <c r="C26" s="216" t="s">
        <v>169</v>
      </c>
      <c r="D26" s="216" t="s">
        <v>94</v>
      </c>
      <c r="E26" s="216" t="s">
        <v>93</v>
      </c>
      <c r="F26" s="216" t="s">
        <v>92</v>
      </c>
      <c r="G26" s="21"/>
      <c r="I26" s="298" t="s">
        <v>127</v>
      </c>
      <c r="J26" s="298"/>
      <c r="K26" s="300" t="str">
        <f>IF(D11&lt;&gt;0,1-(P11+P15+P16)/D11,"-")</f>
        <v>-</v>
      </c>
      <c r="N26" s="29"/>
      <c r="O26" s="216" t="s">
        <v>169</v>
      </c>
      <c r="P26" s="216" t="s">
        <v>94</v>
      </c>
      <c r="Q26" s="216" t="s">
        <v>93</v>
      </c>
      <c r="R26" s="216" t="s">
        <v>92</v>
      </c>
      <c r="S26" s="7"/>
      <c r="T26" s="30"/>
    </row>
    <row r="27" spans="2:20" ht="23.25" customHeight="1" x14ac:dyDescent="0.25">
      <c r="B27" s="20"/>
      <c r="C27" s="216"/>
      <c r="D27" s="216"/>
      <c r="E27" s="216"/>
      <c r="F27" s="216"/>
      <c r="G27" s="21"/>
      <c r="I27" s="299"/>
      <c r="J27" s="299"/>
      <c r="K27" s="301"/>
      <c r="N27" s="29"/>
      <c r="O27" s="216"/>
      <c r="P27" s="216"/>
      <c r="Q27" s="216"/>
      <c r="R27" s="216"/>
      <c r="S27" s="7"/>
      <c r="T27" s="30"/>
    </row>
    <row r="28" spans="2:20" ht="15" customHeight="1" x14ac:dyDescent="0.25">
      <c r="B28" s="20"/>
      <c r="C28" s="44" t="s">
        <v>90</v>
      </c>
      <c r="D28" s="175"/>
      <c r="E28" s="175"/>
      <c r="F28" s="175"/>
      <c r="G28" s="21"/>
      <c r="I28" s="312" t="s">
        <v>227</v>
      </c>
      <c r="J28" s="312"/>
      <c r="K28" s="312"/>
      <c r="L28" s="312"/>
      <c r="M28" s="312"/>
      <c r="N28" s="29"/>
      <c r="O28" s="44" t="s">
        <v>91</v>
      </c>
      <c r="P28" s="175"/>
      <c r="Q28" s="175"/>
      <c r="R28" s="175"/>
      <c r="S28" s="7"/>
      <c r="T28" s="30"/>
    </row>
    <row r="29" spans="2:20" ht="15" customHeight="1" thickBot="1" x14ac:dyDescent="0.3">
      <c r="B29" s="22"/>
      <c r="C29" s="23"/>
      <c r="D29" s="23"/>
      <c r="E29" s="23"/>
      <c r="F29" s="23"/>
      <c r="G29" s="24"/>
      <c r="H29" s="34" t="s">
        <v>195</v>
      </c>
      <c r="I29" s="312"/>
      <c r="J29" s="312"/>
      <c r="K29" s="312"/>
      <c r="L29" s="312"/>
      <c r="M29" s="312"/>
      <c r="N29" s="31"/>
      <c r="O29" s="32"/>
      <c r="P29" s="32"/>
      <c r="Q29" s="32"/>
      <c r="R29" s="32"/>
      <c r="S29" s="32"/>
      <c r="T29" s="33"/>
    </row>
    <row r="30" spans="2:20" ht="15.75" thickTop="1" x14ac:dyDescent="0.25">
      <c r="B30" s="7"/>
      <c r="I30" s="312"/>
      <c r="J30" s="312"/>
      <c r="K30" s="312"/>
      <c r="L30" s="312"/>
      <c r="M30" s="312"/>
    </row>
    <row r="31" spans="2:20" ht="15" customHeight="1" x14ac:dyDescent="0.25">
      <c r="B31" s="7"/>
      <c r="D31" s="7"/>
      <c r="H31" s="34" t="s">
        <v>124</v>
      </c>
      <c r="I31" s="312" t="s">
        <v>125</v>
      </c>
      <c r="J31" s="312"/>
      <c r="K31" s="312"/>
      <c r="L31" s="312"/>
      <c r="M31" s="312"/>
      <c r="N31" s="312"/>
    </row>
    <row r="32" spans="2:20" ht="15" customHeight="1" x14ac:dyDescent="0.25">
      <c r="B32" s="7"/>
      <c r="C32" s="4"/>
      <c r="D32" s="7"/>
      <c r="I32" s="312"/>
      <c r="J32" s="312"/>
      <c r="K32" s="312"/>
      <c r="L32" s="312"/>
      <c r="M32" s="312"/>
      <c r="N32" s="312"/>
    </row>
    <row r="33" spans="2:22" ht="3.75" customHeight="1" x14ac:dyDescent="0.25">
      <c r="B33" s="7"/>
      <c r="C33" s="4"/>
      <c r="D33" s="7"/>
      <c r="I33" s="312"/>
      <c r="J33" s="312"/>
      <c r="K33" s="312"/>
      <c r="L33" s="312"/>
      <c r="M33" s="312"/>
      <c r="N33" s="312"/>
    </row>
    <row r="34" spans="2:22" x14ac:dyDescent="0.25">
      <c r="B34" s="7"/>
      <c r="C34" s="4"/>
      <c r="D34" s="7"/>
      <c r="I34" s="312"/>
      <c r="J34" s="312"/>
      <c r="K34" s="312"/>
      <c r="L34" s="312"/>
      <c r="M34" s="312"/>
      <c r="N34" s="312"/>
    </row>
    <row r="35" spans="2:22" x14ac:dyDescent="0.25">
      <c r="B35" s="7"/>
    </row>
    <row r="36" spans="2:22" ht="18.75" x14ac:dyDescent="0.3">
      <c r="B36" s="58" t="s">
        <v>146</v>
      </c>
      <c r="C36" s="59"/>
      <c r="D36" s="59"/>
      <c r="E36" s="59"/>
      <c r="F36" s="59"/>
      <c r="G36" s="59"/>
      <c r="H36" s="59"/>
      <c r="I36" s="59"/>
      <c r="J36" s="59"/>
      <c r="K36" s="59"/>
      <c r="L36" s="59"/>
      <c r="M36" s="59"/>
      <c r="N36" s="59"/>
      <c r="O36" s="59"/>
      <c r="P36" s="59"/>
      <c r="Q36" s="59"/>
      <c r="R36" s="59"/>
      <c r="S36" s="59"/>
      <c r="T36" s="59"/>
      <c r="U36" s="60"/>
      <c r="V36" s="60"/>
    </row>
    <row r="37" spans="2:22" ht="14.1" customHeight="1" x14ac:dyDescent="0.25">
      <c r="I37" s="313"/>
      <c r="J37" s="314"/>
      <c r="K37" s="315"/>
    </row>
    <row r="38" spans="2:22" ht="21" customHeight="1" x14ac:dyDescent="0.25">
      <c r="B38" s="290" t="s">
        <v>33</v>
      </c>
      <c r="C38" s="290"/>
      <c r="D38" s="290"/>
      <c r="E38" s="290"/>
      <c r="F38" s="290"/>
      <c r="G38" s="290"/>
      <c r="I38" s="313"/>
      <c r="J38" s="314"/>
      <c r="K38" s="315"/>
      <c r="N38" s="293" t="s">
        <v>35</v>
      </c>
      <c r="O38" s="293"/>
      <c r="P38" s="293"/>
      <c r="Q38" s="293"/>
      <c r="R38" s="293"/>
      <c r="S38" s="293"/>
      <c r="T38" s="293"/>
    </row>
    <row r="39" spans="2:22" ht="14.1" customHeight="1" thickBot="1" x14ac:dyDescent="0.3">
      <c r="C39" s="4"/>
      <c r="D39" s="4"/>
      <c r="E39" s="4"/>
      <c r="F39" s="4"/>
      <c r="I39" s="313"/>
      <c r="J39" s="314"/>
      <c r="K39" s="315"/>
    </row>
    <row r="40" spans="2:22" ht="18.75" customHeight="1" thickTop="1" x14ac:dyDescent="0.25">
      <c r="B40" s="17"/>
      <c r="C40" s="18"/>
      <c r="D40" s="18"/>
      <c r="E40" s="18"/>
      <c r="F40" s="18"/>
      <c r="G40" s="18"/>
      <c r="H40" s="54"/>
      <c r="I40" s="313"/>
      <c r="J40" s="314"/>
      <c r="K40" s="315"/>
      <c r="N40" s="26"/>
      <c r="O40" s="27"/>
      <c r="P40" s="27"/>
      <c r="Q40" s="27"/>
      <c r="R40" s="27"/>
      <c r="S40" s="27"/>
      <c r="T40" s="27"/>
      <c r="U40" s="27"/>
      <c r="V40" s="28"/>
    </row>
    <row r="41" spans="2:22" ht="15" customHeight="1" x14ac:dyDescent="0.25">
      <c r="B41" s="20"/>
      <c r="C41" s="318" t="s">
        <v>122</v>
      </c>
      <c r="D41" s="319"/>
      <c r="E41" s="14"/>
      <c r="F41" s="16"/>
      <c r="G41" s="16"/>
      <c r="H41" s="53"/>
      <c r="J41" s="291" t="s">
        <v>34</v>
      </c>
      <c r="K41" s="291"/>
      <c r="L41" s="291"/>
      <c r="N41" s="29"/>
      <c r="O41" s="320" t="s">
        <v>36</v>
      </c>
      <c r="P41" s="320"/>
      <c r="Q41" s="320"/>
      <c r="R41" s="320"/>
      <c r="S41" s="320"/>
      <c r="T41" s="217" t="s">
        <v>112</v>
      </c>
      <c r="U41" s="219"/>
      <c r="V41" s="30"/>
    </row>
    <row r="42" spans="2:22" ht="15" customHeight="1" x14ac:dyDescent="0.25">
      <c r="B42" s="20"/>
      <c r="C42" s="39" t="s">
        <v>103</v>
      </c>
      <c r="D42" s="39" t="s">
        <v>120</v>
      </c>
      <c r="E42" s="39" t="s">
        <v>121</v>
      </c>
      <c r="G42" s="16"/>
      <c r="H42" s="53"/>
      <c r="J42" s="291"/>
      <c r="K42" s="291"/>
      <c r="L42" s="291"/>
      <c r="N42" s="29"/>
      <c r="O42" s="39" t="s">
        <v>103</v>
      </c>
      <c r="P42" s="39" t="s">
        <v>119</v>
      </c>
      <c r="Q42" s="269" t="s">
        <v>38</v>
      </c>
      <c r="R42" s="269"/>
      <c r="S42" s="39" t="s">
        <v>121</v>
      </c>
      <c r="T42" s="220"/>
      <c r="U42" s="208"/>
      <c r="V42" s="30"/>
    </row>
    <row r="43" spans="2:22" ht="15" customHeight="1" x14ac:dyDescent="0.25">
      <c r="B43" s="20"/>
      <c r="C43" s="132">
        <f>C11</f>
        <v>0</v>
      </c>
      <c r="D43" s="132">
        <f>D11</f>
        <v>0</v>
      </c>
      <c r="E43" s="41" t="str">
        <f>IF(ISNUMBER(D43/C43),D43/C43,"-")</f>
        <v>-</v>
      </c>
      <c r="G43" s="16"/>
      <c r="H43" s="53"/>
      <c r="J43" s="291"/>
      <c r="K43" s="291"/>
      <c r="L43" s="291"/>
      <c r="N43" s="29"/>
      <c r="O43" s="132">
        <f>O11</f>
        <v>0</v>
      </c>
      <c r="P43" s="132">
        <f>P11</f>
        <v>0</v>
      </c>
      <c r="Q43" s="48" t="s">
        <v>69</v>
      </c>
      <c r="R43" s="48"/>
      <c r="S43" s="41" t="str">
        <f>IF(ISNUMBER(P43/O43),P43/O43,"-")</f>
        <v>-</v>
      </c>
      <c r="T43" s="316">
        <f>M80+R87</f>
        <v>0</v>
      </c>
      <c r="U43" s="316"/>
      <c r="V43" s="30"/>
    </row>
    <row r="44" spans="2:22" ht="15.75" customHeight="1" thickBot="1" x14ac:dyDescent="0.3">
      <c r="B44" s="20"/>
      <c r="C44" s="37"/>
      <c r="D44" s="16"/>
      <c r="E44" s="16"/>
      <c r="F44" s="16"/>
      <c r="G44" s="16"/>
      <c r="H44" s="53"/>
      <c r="J44" s="292"/>
      <c r="K44" s="292"/>
      <c r="L44" s="292"/>
      <c r="N44" s="29"/>
      <c r="O44" s="37" t="str">
        <f>IF(P43&gt;O43,"La cantidad de N no puede ser superior a la cantidad total","")</f>
        <v/>
      </c>
      <c r="P44" s="7"/>
      <c r="Q44" s="7"/>
      <c r="R44" s="7"/>
      <c r="S44" s="7"/>
      <c r="T44" s="57"/>
      <c r="V44" s="30"/>
    </row>
    <row r="45" spans="2:22" ht="15.75" customHeight="1" thickTop="1" x14ac:dyDescent="0.25">
      <c r="B45" s="279" t="s">
        <v>124</v>
      </c>
      <c r="C45" s="39" t="s">
        <v>41</v>
      </c>
      <c r="D45" s="216" t="s">
        <v>112</v>
      </c>
      <c r="E45" s="16"/>
      <c r="F45" s="16"/>
      <c r="G45" s="16"/>
      <c r="H45" s="53"/>
      <c r="J45" s="295" t="s">
        <v>123</v>
      </c>
      <c r="K45" s="295"/>
      <c r="L45" s="295"/>
      <c r="N45" s="29"/>
      <c r="O45" s="320" t="s">
        <v>37</v>
      </c>
      <c r="P45" s="320"/>
      <c r="Q45" s="320"/>
      <c r="R45" s="320"/>
      <c r="S45" s="320"/>
      <c r="T45" s="216" t="s">
        <v>112</v>
      </c>
      <c r="U45" s="216"/>
      <c r="V45" s="30"/>
    </row>
    <row r="46" spans="2:22" ht="18.75" customHeight="1" x14ac:dyDescent="0.25">
      <c r="B46" s="279"/>
      <c r="C46" s="39" t="s">
        <v>42</v>
      </c>
      <c r="D46" s="272"/>
      <c r="E46" s="16"/>
      <c r="F46" s="16"/>
      <c r="G46" s="16"/>
      <c r="H46" s="53"/>
      <c r="J46" s="273"/>
      <c r="K46" s="273"/>
      <c r="L46" s="273"/>
      <c r="N46" s="29"/>
      <c r="O46" s="39" t="s">
        <v>103</v>
      </c>
      <c r="P46" s="39" t="s">
        <v>120</v>
      </c>
      <c r="Q46" s="322" t="s">
        <v>38</v>
      </c>
      <c r="R46" s="323"/>
      <c r="S46" s="49" t="s">
        <v>121</v>
      </c>
      <c r="T46" s="216"/>
      <c r="U46" s="216"/>
      <c r="V46" s="30"/>
    </row>
    <row r="47" spans="2:22" ht="16.5" customHeight="1" x14ac:dyDescent="0.25">
      <c r="B47" s="20"/>
      <c r="C47" s="42">
        <f>C15</f>
        <v>0</v>
      </c>
      <c r="D47" s="102">
        <f>E92/1000</f>
        <v>0</v>
      </c>
      <c r="E47" s="16"/>
      <c r="F47" s="16"/>
      <c r="G47" s="16"/>
      <c r="H47" s="53"/>
      <c r="J47" s="271" t="str">
        <f t="shared" ref="J47:J52" si="0">IF(ISTEXT(I15),I15,"")</f>
        <v/>
      </c>
      <c r="K47" s="271"/>
      <c r="L47" s="271"/>
      <c r="N47" s="29"/>
      <c r="O47" s="132">
        <f>O15</f>
        <v>0</v>
      </c>
      <c r="P47" s="132">
        <f>P15</f>
        <v>0</v>
      </c>
      <c r="Q47" s="321" t="s">
        <v>69</v>
      </c>
      <c r="R47" s="321"/>
      <c r="S47" s="50" t="str">
        <f>IF(ISNUMBER(P47/O47),P47/O47,"-")</f>
        <v>-</v>
      </c>
      <c r="T47" s="316">
        <f>M79+R86</f>
        <v>0</v>
      </c>
      <c r="U47" s="316"/>
      <c r="V47" s="30"/>
    </row>
    <row r="48" spans="2:22" ht="15" customHeight="1" x14ac:dyDescent="0.25">
      <c r="B48" s="20"/>
      <c r="C48" s="16"/>
      <c r="D48" s="16"/>
      <c r="E48" s="16"/>
      <c r="F48" s="16"/>
      <c r="G48" s="16"/>
      <c r="H48" s="53"/>
      <c r="J48" s="271" t="str">
        <f t="shared" si="0"/>
        <v/>
      </c>
      <c r="K48" s="271"/>
      <c r="L48" s="271"/>
      <c r="N48" s="29"/>
      <c r="O48" s="132">
        <f>O16</f>
        <v>0</v>
      </c>
      <c r="P48" s="132">
        <f>P16</f>
        <v>0</v>
      </c>
      <c r="Q48" s="321" t="s">
        <v>64</v>
      </c>
      <c r="R48" s="321"/>
      <c r="S48" s="50" t="str">
        <f>IF(ISNUMBER(P48/O48),P48/O48,"-")</f>
        <v>-</v>
      </c>
      <c r="T48" s="316" t="s">
        <v>115</v>
      </c>
      <c r="U48" s="316"/>
      <c r="V48" s="30"/>
    </row>
    <row r="49" spans="2:22" ht="15" customHeight="1" x14ac:dyDescent="0.25">
      <c r="B49" s="268" t="s">
        <v>124</v>
      </c>
      <c r="C49" s="269" t="s">
        <v>88</v>
      </c>
      <c r="D49" s="269"/>
      <c r="E49" s="269"/>
      <c r="F49" s="278" t="s">
        <v>112</v>
      </c>
      <c r="G49" s="16"/>
      <c r="H49" s="53"/>
      <c r="J49" s="271" t="str">
        <f t="shared" si="0"/>
        <v/>
      </c>
      <c r="K49" s="271"/>
      <c r="L49" s="271"/>
      <c r="N49" s="29"/>
      <c r="O49" s="37" t="str">
        <f>IF(OR(P48&gt;O48,P47&gt;O47),"La cantidad de N no puede ser superior a la cantidad total","")</f>
        <v/>
      </c>
      <c r="P49" s="7"/>
      <c r="Q49" s="7"/>
      <c r="R49" s="7"/>
      <c r="S49" s="56"/>
      <c r="T49" s="56"/>
      <c r="V49" s="30"/>
    </row>
    <row r="50" spans="2:22" ht="15" customHeight="1" x14ac:dyDescent="0.25">
      <c r="B50" s="268"/>
      <c r="C50" s="269"/>
      <c r="D50" s="269"/>
      <c r="E50" s="269"/>
      <c r="F50" s="278"/>
      <c r="G50" s="16"/>
      <c r="H50" s="53"/>
      <c r="J50" s="271" t="str">
        <f t="shared" si="0"/>
        <v/>
      </c>
      <c r="K50" s="271"/>
      <c r="L50" s="271"/>
      <c r="N50" s="29"/>
      <c r="O50" s="320" t="s">
        <v>161</v>
      </c>
      <c r="P50" s="320"/>
      <c r="Q50" s="216" t="s">
        <v>112</v>
      </c>
      <c r="S50" s="7"/>
      <c r="T50" s="7"/>
      <c r="V50" s="30"/>
    </row>
    <row r="51" spans="2:22" ht="15" customHeight="1" x14ac:dyDescent="0.25">
      <c r="B51" s="20"/>
      <c r="C51" s="269" t="s">
        <v>70</v>
      </c>
      <c r="D51" s="269"/>
      <c r="E51" s="39" t="s">
        <v>53</v>
      </c>
      <c r="F51" s="278"/>
      <c r="G51" s="16"/>
      <c r="H51" s="53"/>
      <c r="J51" s="271" t="str">
        <f t="shared" si="0"/>
        <v/>
      </c>
      <c r="K51" s="271"/>
      <c r="L51" s="271"/>
      <c r="N51" s="29"/>
      <c r="O51" s="269" t="s">
        <v>166</v>
      </c>
      <c r="P51" s="269" t="s">
        <v>167</v>
      </c>
      <c r="Q51" s="216"/>
      <c r="S51" s="7"/>
      <c r="T51" s="7"/>
      <c r="V51" s="30"/>
    </row>
    <row r="52" spans="2:22" ht="15" customHeight="1" x14ac:dyDescent="0.25">
      <c r="B52" s="20"/>
      <c r="C52" s="266" t="str">
        <f>IF(ISTEXT(C20),C20,"")</f>
        <v/>
      </c>
      <c r="D52" s="266"/>
      <c r="E52" s="40" t="str">
        <f>IF(ISNUMBER(E20),E20,"")</f>
        <v/>
      </c>
      <c r="F52" s="102">
        <f>IF(ISNUMBER(VLOOKUP(C52,$C$98:$F$110,4,FALSE)/1000),VLOOKUP(C52,$C$98:$F$110,4,FALSE)/1000,0)</f>
        <v>0</v>
      </c>
      <c r="G52" s="16"/>
      <c r="H52" s="53"/>
      <c r="J52" s="271" t="str">
        <f t="shared" si="0"/>
        <v/>
      </c>
      <c r="K52" s="271"/>
      <c r="L52" s="271"/>
      <c r="N52" s="29"/>
      <c r="O52" s="269"/>
      <c r="P52" s="269"/>
      <c r="Q52" s="272"/>
      <c r="S52" s="7"/>
      <c r="T52" s="7"/>
      <c r="V52" s="30"/>
    </row>
    <row r="53" spans="2:22" ht="15" customHeight="1" x14ac:dyDescent="0.25">
      <c r="B53" s="20"/>
      <c r="C53" s="266" t="str">
        <f t="shared" ref="C53:C54" si="1">IF(ISTEXT(C21),C21,"")</f>
        <v/>
      </c>
      <c r="D53" s="266"/>
      <c r="E53" s="40" t="str">
        <f t="shared" ref="E53:E54" si="2">IF(ISNUMBER(E21),E21,"")</f>
        <v/>
      </c>
      <c r="F53" s="102">
        <f t="shared" ref="F53:F54" si="3">IF(ISNUMBER(VLOOKUP(C53,$C$98:$F$110,4,FALSE)/1000),VLOOKUP(C53,$C$98:$F$110,4,FALSE)/1000,0)</f>
        <v>0</v>
      </c>
      <c r="G53" s="16"/>
      <c r="H53" s="53"/>
      <c r="J53" s="273" t="s">
        <v>236</v>
      </c>
      <c r="K53" s="273"/>
      <c r="L53" s="273"/>
      <c r="N53" s="29"/>
      <c r="O53" s="169">
        <f>O21</f>
        <v>0</v>
      </c>
      <c r="P53" s="170">
        <f>P21</f>
        <v>0</v>
      </c>
      <c r="Q53" s="171">
        <f>(O53*1.2228/1000)*298+(P53*0.716/1000)*25</f>
        <v>0</v>
      </c>
      <c r="S53" s="7"/>
      <c r="T53" s="7"/>
      <c r="V53" s="30"/>
    </row>
    <row r="54" spans="2:22" ht="15" customHeight="1" x14ac:dyDescent="0.25">
      <c r="B54" s="20"/>
      <c r="C54" s="266" t="str">
        <f t="shared" si="1"/>
        <v/>
      </c>
      <c r="D54" s="266"/>
      <c r="E54" s="40" t="str">
        <f t="shared" si="2"/>
        <v/>
      </c>
      <c r="F54" s="102">
        <f t="shared" si="3"/>
        <v>0</v>
      </c>
      <c r="G54" s="16"/>
      <c r="H54" s="53"/>
      <c r="J54" s="273"/>
      <c r="K54" s="273"/>
      <c r="L54" s="273"/>
      <c r="N54" s="29"/>
      <c r="O54" s="36"/>
      <c r="P54" s="35"/>
      <c r="Q54" s="35"/>
      <c r="R54" s="7"/>
      <c r="S54" s="7"/>
      <c r="T54" s="7"/>
      <c r="V54" s="30"/>
    </row>
    <row r="55" spans="2:22" ht="15.75" customHeight="1" x14ac:dyDescent="0.25">
      <c r="B55" s="20"/>
      <c r="C55" s="16"/>
      <c r="D55" s="16"/>
      <c r="E55" s="16"/>
      <c r="F55" s="16"/>
      <c r="G55" s="16"/>
      <c r="H55" s="53"/>
      <c r="J55" s="267" t="str">
        <f>IF(ISTEXT(I23),I23,"")</f>
        <v/>
      </c>
      <c r="K55" s="267"/>
      <c r="L55" s="267"/>
      <c r="N55" s="29"/>
      <c r="S55" s="7"/>
      <c r="T55" s="7"/>
      <c r="V55" s="30"/>
    </row>
    <row r="56" spans="2:22" ht="15" customHeight="1" x14ac:dyDescent="0.25">
      <c r="B56" s="268" t="s">
        <v>124</v>
      </c>
      <c r="C56" s="269" t="s">
        <v>89</v>
      </c>
      <c r="D56" s="269"/>
      <c r="E56" s="269"/>
      <c r="F56" s="269"/>
      <c r="G56" s="274" t="s">
        <v>112</v>
      </c>
      <c r="H56" s="275"/>
      <c r="J56" s="267"/>
      <c r="K56" s="267"/>
      <c r="L56" s="267"/>
      <c r="N56" s="270" t="s">
        <v>124</v>
      </c>
      <c r="O56" s="269" t="s">
        <v>89</v>
      </c>
      <c r="P56" s="269"/>
      <c r="Q56" s="269"/>
      <c r="R56" s="269"/>
      <c r="S56" s="278" t="s">
        <v>112</v>
      </c>
      <c r="T56" s="278"/>
      <c r="V56" s="30"/>
    </row>
    <row r="57" spans="2:22" ht="15" customHeight="1" x14ac:dyDescent="0.25">
      <c r="B57" s="268"/>
      <c r="C57" s="269"/>
      <c r="D57" s="269"/>
      <c r="E57" s="269"/>
      <c r="F57" s="269"/>
      <c r="G57" s="274"/>
      <c r="H57" s="275"/>
      <c r="N57" s="270"/>
      <c r="O57" s="269"/>
      <c r="P57" s="269"/>
      <c r="Q57" s="269"/>
      <c r="R57" s="269"/>
      <c r="S57" s="278"/>
      <c r="T57" s="278"/>
      <c r="V57" s="30"/>
    </row>
    <row r="58" spans="2:22" ht="15" customHeight="1" x14ac:dyDescent="0.25">
      <c r="B58" s="20"/>
      <c r="C58" s="269" t="s">
        <v>95</v>
      </c>
      <c r="D58" s="269" t="s">
        <v>94</v>
      </c>
      <c r="E58" s="269" t="s">
        <v>93</v>
      </c>
      <c r="F58" s="269" t="s">
        <v>92</v>
      </c>
      <c r="G58" s="274"/>
      <c r="H58" s="275"/>
      <c r="J58" s="298" t="s">
        <v>127</v>
      </c>
      <c r="K58" s="298"/>
      <c r="L58" s="300" t="str">
        <f>IF(D43&lt;&gt;0,1-(P43+P47+P48)/D43,"-")</f>
        <v>-</v>
      </c>
      <c r="N58" s="29"/>
      <c r="O58" s="269" t="s">
        <v>95</v>
      </c>
      <c r="P58" s="269" t="s">
        <v>94</v>
      </c>
      <c r="Q58" s="269" t="s">
        <v>93</v>
      </c>
      <c r="R58" s="269" t="s">
        <v>92</v>
      </c>
      <c r="S58" s="278"/>
      <c r="T58" s="278"/>
      <c r="V58" s="30"/>
    </row>
    <row r="59" spans="2:22" ht="15" customHeight="1" x14ac:dyDescent="0.25">
      <c r="B59" s="20"/>
      <c r="C59" s="269"/>
      <c r="D59" s="269"/>
      <c r="E59" s="269"/>
      <c r="F59" s="269"/>
      <c r="G59" s="276"/>
      <c r="H59" s="277"/>
      <c r="J59" s="299"/>
      <c r="K59" s="299"/>
      <c r="L59" s="301"/>
      <c r="N59" s="29"/>
      <c r="O59" s="269"/>
      <c r="P59" s="269"/>
      <c r="Q59" s="269"/>
      <c r="R59" s="269"/>
      <c r="S59" s="278"/>
      <c r="T59" s="278"/>
      <c r="V59" s="30"/>
    </row>
    <row r="60" spans="2:22" ht="15" customHeight="1" x14ac:dyDescent="0.25">
      <c r="B60" s="20"/>
      <c r="C60" s="45" t="s">
        <v>90</v>
      </c>
      <c r="D60" s="40">
        <f>D28</f>
        <v>0</v>
      </c>
      <c r="E60" s="40">
        <f t="shared" ref="E60:F60" si="4">E28</f>
        <v>0</v>
      </c>
      <c r="F60" s="40">
        <f t="shared" si="4"/>
        <v>0</v>
      </c>
      <c r="G60" s="316">
        <f>N116</f>
        <v>0</v>
      </c>
      <c r="H60" s="317"/>
      <c r="N60" s="29"/>
      <c r="O60" s="45" t="s">
        <v>91</v>
      </c>
      <c r="P60" s="47">
        <f>P28</f>
        <v>0</v>
      </c>
      <c r="Q60" s="47">
        <f t="shared" ref="Q60:R60" si="5">Q28</f>
        <v>0</v>
      </c>
      <c r="R60" s="47">
        <f t="shared" si="5"/>
        <v>0</v>
      </c>
      <c r="S60" s="316">
        <f>N117</f>
        <v>0</v>
      </c>
      <c r="T60" s="316"/>
      <c r="V60" s="30"/>
    </row>
    <row r="61" spans="2:22" ht="15" customHeight="1" thickBot="1" x14ac:dyDescent="0.3">
      <c r="B61" s="22"/>
      <c r="C61" s="23"/>
      <c r="D61" s="23"/>
      <c r="E61" s="23"/>
      <c r="F61" s="23"/>
      <c r="G61" s="51"/>
      <c r="H61" s="52"/>
      <c r="N61" s="31"/>
      <c r="O61" s="32"/>
      <c r="P61" s="32"/>
      <c r="Q61" s="32"/>
      <c r="R61" s="32"/>
      <c r="S61" s="55"/>
      <c r="T61" s="32"/>
      <c r="U61" s="32"/>
      <c r="V61" s="33"/>
    </row>
    <row r="62" spans="2:22" ht="15.75" thickTop="1" x14ac:dyDescent="0.25">
      <c r="B62" s="7"/>
    </row>
    <row r="63" spans="2:22" ht="15" customHeight="1" x14ac:dyDescent="0.25">
      <c r="B63" s="7"/>
      <c r="C63" s="82" t="s">
        <v>144</v>
      </c>
      <c r="M63" s="34" t="s">
        <v>124</v>
      </c>
      <c r="N63" s="312" t="s">
        <v>125</v>
      </c>
      <c r="O63" s="312"/>
      <c r="P63" s="312"/>
      <c r="Q63" s="312"/>
      <c r="R63" s="312"/>
      <c r="S63" s="312"/>
    </row>
    <row r="64" spans="2:22" ht="15" customHeight="1" x14ac:dyDescent="0.25">
      <c r="B64" s="88"/>
      <c r="C64" s="87"/>
      <c r="D64" s="87"/>
      <c r="E64" s="87"/>
      <c r="F64" s="87"/>
      <c r="G64" s="87"/>
      <c r="N64" s="312"/>
      <c r="O64" s="312"/>
      <c r="P64" s="312"/>
      <c r="Q64" s="312"/>
      <c r="R64" s="312"/>
      <c r="S64" s="312"/>
    </row>
    <row r="65" spans="2:20" x14ac:dyDescent="0.25">
      <c r="B65" s="88"/>
      <c r="C65" s="303"/>
      <c r="D65" s="304"/>
      <c r="E65" s="311" t="s">
        <v>112</v>
      </c>
      <c r="F65" s="311"/>
      <c r="G65" s="87"/>
      <c r="N65" s="312"/>
      <c r="O65" s="312"/>
      <c r="P65" s="312"/>
      <c r="Q65" s="312"/>
      <c r="R65" s="312"/>
      <c r="S65" s="312"/>
    </row>
    <row r="66" spans="2:20" x14ac:dyDescent="0.25">
      <c r="B66" s="88"/>
      <c r="C66" s="305"/>
      <c r="D66" s="306"/>
      <c r="E66" s="311"/>
      <c r="F66" s="311"/>
      <c r="G66" s="87"/>
      <c r="N66" s="312"/>
      <c r="O66" s="312"/>
      <c r="P66" s="312"/>
      <c r="Q66" s="312"/>
      <c r="R66" s="312"/>
      <c r="S66" s="312"/>
    </row>
    <row r="67" spans="2:20" x14ac:dyDescent="0.25">
      <c r="B67" s="88"/>
      <c r="C67" s="85" t="s">
        <v>116</v>
      </c>
      <c r="D67" s="86"/>
      <c r="E67" s="308">
        <f>T43+T47+Q53+G60+S60+F52+F53+F54+D47</f>
        <v>0</v>
      </c>
      <c r="F67" s="308"/>
      <c r="G67" s="87"/>
    </row>
    <row r="68" spans="2:20" ht="15.75" x14ac:dyDescent="0.25">
      <c r="B68" s="88"/>
      <c r="C68" s="85" t="s">
        <v>117</v>
      </c>
      <c r="D68" s="86"/>
      <c r="E68" s="309">
        <f>T43+T47+Q53+SUM(F52:F54)</f>
        <v>0</v>
      </c>
      <c r="F68" s="310"/>
      <c r="G68" s="87"/>
    </row>
    <row r="69" spans="2:20" x14ac:dyDescent="0.25">
      <c r="B69" s="88"/>
      <c r="C69" s="307" t="s">
        <v>118</v>
      </c>
      <c r="D69" s="307"/>
      <c r="E69" s="308">
        <f>SUM(D47,G60,S60)</f>
        <v>0</v>
      </c>
      <c r="F69" s="308"/>
      <c r="G69" s="87"/>
    </row>
    <row r="70" spans="2:20" ht="15" customHeight="1" x14ac:dyDescent="0.25">
      <c r="B70" s="88"/>
      <c r="C70" s="87"/>
      <c r="D70" s="87"/>
      <c r="E70" s="109"/>
      <c r="F70" s="87"/>
      <c r="G70" s="87"/>
    </row>
    <row r="71" spans="2:20" ht="17.25" customHeight="1" x14ac:dyDescent="0.25">
      <c r="B71" s="7"/>
    </row>
    <row r="72" spans="2:20" ht="18.75" x14ac:dyDescent="0.3">
      <c r="B72" s="58" t="s">
        <v>147</v>
      </c>
      <c r="C72" s="59"/>
      <c r="D72" s="59"/>
      <c r="E72" s="59"/>
      <c r="F72" s="59"/>
      <c r="G72" s="59"/>
      <c r="H72" s="59"/>
      <c r="I72" s="59"/>
      <c r="J72" s="59"/>
      <c r="K72" s="59"/>
      <c r="L72" s="59"/>
      <c r="M72" s="59"/>
      <c r="N72" s="59"/>
      <c r="O72" s="59"/>
      <c r="P72" s="59"/>
      <c r="Q72" s="59"/>
      <c r="R72" s="59"/>
      <c r="S72" s="59"/>
      <c r="T72" s="59"/>
    </row>
    <row r="73" spans="2:20" x14ac:dyDescent="0.25">
      <c r="B73" s="7"/>
      <c r="C73" s="7"/>
      <c r="D73" s="7"/>
    </row>
    <row r="74" spans="2:20" x14ac:dyDescent="0.25">
      <c r="B74" s="4" t="s">
        <v>175</v>
      </c>
    </row>
    <row r="76" spans="2:20" x14ac:dyDescent="0.25">
      <c r="D76" s="242" t="s">
        <v>24</v>
      </c>
      <c r="E76" s="243"/>
      <c r="F76" s="243"/>
      <c r="G76" s="243"/>
      <c r="H76" s="244"/>
      <c r="I76" s="242" t="s">
        <v>25</v>
      </c>
      <c r="J76" s="243"/>
      <c r="K76" s="243"/>
      <c r="L76" s="243"/>
      <c r="M76" s="244"/>
    </row>
    <row r="77" spans="2:20" ht="30" x14ac:dyDescent="0.25">
      <c r="C77" s="2"/>
      <c r="D77" s="91" t="s">
        <v>9</v>
      </c>
      <c r="E77" s="91" t="s">
        <v>0</v>
      </c>
      <c r="F77" s="194" t="s">
        <v>1</v>
      </c>
      <c r="G77" s="196"/>
      <c r="H77" s="195"/>
      <c r="I77" s="91" t="s">
        <v>150</v>
      </c>
      <c r="J77" s="91" t="s">
        <v>0</v>
      </c>
      <c r="K77" s="213" t="s">
        <v>1</v>
      </c>
      <c r="L77" s="213"/>
      <c r="M77" s="213"/>
    </row>
    <row r="78" spans="2:20" ht="30" x14ac:dyDescent="0.25">
      <c r="B78" s="213" t="s">
        <v>148</v>
      </c>
      <c r="C78" s="213"/>
      <c r="D78" s="91" t="s">
        <v>3</v>
      </c>
      <c r="E78" s="91" t="s">
        <v>10</v>
      </c>
      <c r="F78" s="91" t="s">
        <v>7</v>
      </c>
      <c r="G78" s="194" t="s">
        <v>8</v>
      </c>
      <c r="H78" s="195"/>
      <c r="I78" s="91" t="s">
        <v>3</v>
      </c>
      <c r="J78" s="91" t="s">
        <v>2</v>
      </c>
      <c r="K78" s="91" t="s">
        <v>6</v>
      </c>
      <c r="L78" s="91" t="s">
        <v>4</v>
      </c>
      <c r="M78" s="91" t="s">
        <v>5</v>
      </c>
    </row>
    <row r="79" spans="2:20" x14ac:dyDescent="0.25">
      <c r="B79" s="256" t="s">
        <v>66</v>
      </c>
      <c r="C79" s="256"/>
      <c r="D79" s="63">
        <f>IF(ISNUMBER(P15), P15,0)</f>
        <v>0</v>
      </c>
      <c r="E79" s="43">
        <v>3.0000000000000001E-3</v>
      </c>
      <c r="F79" s="63">
        <f>D79*E79</f>
        <v>0</v>
      </c>
      <c r="G79" s="324">
        <f>F79*(46/14)</f>
        <v>0</v>
      </c>
      <c r="H79" s="325"/>
      <c r="I79" s="63">
        <f>D79-F79</f>
        <v>0</v>
      </c>
      <c r="J79" s="64">
        <v>1.2500000000000001E-2</v>
      </c>
      <c r="K79" s="64">
        <f>I79*J79</f>
        <v>0</v>
      </c>
      <c r="L79" s="63">
        <f>K79*(44/28)</f>
        <v>0</v>
      </c>
      <c r="M79" s="103">
        <f>L79*298</f>
        <v>0</v>
      </c>
    </row>
    <row r="80" spans="2:20" x14ac:dyDescent="0.25">
      <c r="B80" s="256" t="s">
        <v>67</v>
      </c>
      <c r="C80" s="256"/>
      <c r="D80" s="63">
        <f>IF(ISNUMBER(P11), P11,0)</f>
        <v>0</v>
      </c>
      <c r="E80" s="43">
        <v>3.0000000000000001E-3</v>
      </c>
      <c r="F80" s="63">
        <f>D80*E80</f>
        <v>0</v>
      </c>
      <c r="G80" s="324">
        <f>F80*(46/14)</f>
        <v>0</v>
      </c>
      <c r="H80" s="325"/>
      <c r="I80" s="63">
        <f>D80-F80</f>
        <v>0</v>
      </c>
      <c r="J80" s="64">
        <v>1.2500000000000001E-2</v>
      </c>
      <c r="K80" s="64">
        <f>I80*J80</f>
        <v>0</v>
      </c>
      <c r="L80" s="63">
        <f>K80*(44/28)</f>
        <v>0</v>
      </c>
      <c r="M80" s="103">
        <f>L80*298</f>
        <v>0</v>
      </c>
    </row>
    <row r="81" spans="2:18" x14ac:dyDescent="0.25">
      <c r="K81" s="56"/>
    </row>
    <row r="82" spans="2:18" x14ac:dyDescent="0.25">
      <c r="D82" s="326" t="s">
        <v>26</v>
      </c>
      <c r="E82" s="326"/>
      <c r="F82" s="326"/>
      <c r="G82" s="326"/>
      <c r="H82" s="326"/>
      <c r="I82" s="326"/>
      <c r="J82" s="326"/>
      <c r="K82" s="326"/>
      <c r="L82" s="326"/>
      <c r="M82" s="326"/>
      <c r="N82" s="326"/>
      <c r="O82" s="326"/>
      <c r="P82" s="326"/>
      <c r="Q82" s="326"/>
      <c r="R82" s="326"/>
    </row>
    <row r="83" spans="2:18" ht="15" customHeight="1" x14ac:dyDescent="0.25">
      <c r="D83" s="206" t="s">
        <v>14</v>
      </c>
      <c r="E83" s="206"/>
      <c r="F83" s="206"/>
      <c r="G83" s="206"/>
      <c r="H83" s="206"/>
      <c r="I83" s="206"/>
      <c r="J83" s="327" t="s">
        <v>14</v>
      </c>
      <c r="K83" s="328"/>
      <c r="L83" s="328"/>
      <c r="M83" s="328"/>
      <c r="N83" s="328"/>
      <c r="O83" s="329"/>
      <c r="P83" s="327" t="s">
        <v>15</v>
      </c>
      <c r="Q83" s="328"/>
      <c r="R83" s="329"/>
    </row>
    <row r="84" spans="2:18" x14ac:dyDescent="0.25">
      <c r="C84" s="2"/>
      <c r="D84" s="213" t="s">
        <v>16</v>
      </c>
      <c r="E84" s="213"/>
      <c r="F84" s="213" t="s">
        <v>0</v>
      </c>
      <c r="G84" s="213"/>
      <c r="H84" s="213" t="s">
        <v>1</v>
      </c>
      <c r="I84" s="213"/>
      <c r="J84" s="93" t="s">
        <v>17</v>
      </c>
      <c r="K84" s="213" t="s">
        <v>18</v>
      </c>
      <c r="L84" s="213"/>
      <c r="M84" s="213" t="s">
        <v>0</v>
      </c>
      <c r="N84" s="213"/>
      <c r="O84" s="93" t="s">
        <v>1</v>
      </c>
      <c r="P84" s="194" t="s">
        <v>1</v>
      </c>
      <c r="Q84" s="196"/>
      <c r="R84" s="195"/>
    </row>
    <row r="85" spans="2:18" ht="36.75" customHeight="1" x14ac:dyDescent="0.25">
      <c r="B85" s="213" t="s">
        <v>149</v>
      </c>
      <c r="C85" s="213"/>
      <c r="D85" s="213" t="s">
        <v>3</v>
      </c>
      <c r="E85" s="213"/>
      <c r="F85" s="213" t="s">
        <v>19</v>
      </c>
      <c r="G85" s="213"/>
      <c r="H85" s="213" t="s">
        <v>6</v>
      </c>
      <c r="I85" s="213"/>
      <c r="J85" s="93" t="s">
        <v>3</v>
      </c>
      <c r="K85" s="213" t="s">
        <v>20</v>
      </c>
      <c r="L85" s="213"/>
      <c r="M85" s="213" t="s">
        <v>19</v>
      </c>
      <c r="N85" s="213"/>
      <c r="O85" s="93" t="s">
        <v>6</v>
      </c>
      <c r="P85" s="93" t="s">
        <v>6</v>
      </c>
      <c r="Q85" s="91" t="s">
        <v>4</v>
      </c>
      <c r="R85" s="91" t="s">
        <v>5</v>
      </c>
    </row>
    <row r="86" spans="2:18" ht="15" customHeight="1" x14ac:dyDescent="0.25">
      <c r="B86" s="256" t="s">
        <v>66</v>
      </c>
      <c r="C86" s="256"/>
      <c r="D86" s="257">
        <f>F79</f>
        <v>0</v>
      </c>
      <c r="E86" s="257"/>
      <c r="F86" s="259">
        <v>0.01</v>
      </c>
      <c r="G86" s="259"/>
      <c r="H86" s="258">
        <f>D86*F86</f>
        <v>0</v>
      </c>
      <c r="I86" s="258"/>
      <c r="J86" s="89">
        <f>D79</f>
        <v>0</v>
      </c>
      <c r="K86" s="257">
        <v>0.3</v>
      </c>
      <c r="L86" s="257"/>
      <c r="M86" s="259">
        <v>2.5000000000000001E-2</v>
      </c>
      <c r="N86" s="259"/>
      <c r="O86" s="90">
        <f>J86*K86*M86</f>
        <v>0</v>
      </c>
      <c r="P86" s="90">
        <f>O86+H86</f>
        <v>0</v>
      </c>
      <c r="Q86" s="63">
        <f>P86*(44/28)</f>
        <v>0</v>
      </c>
      <c r="R86" s="103">
        <f>Q86*298</f>
        <v>0</v>
      </c>
    </row>
    <row r="87" spans="2:18" x14ac:dyDescent="0.25">
      <c r="B87" s="256" t="s">
        <v>67</v>
      </c>
      <c r="C87" s="256"/>
      <c r="D87" s="257">
        <f>F80</f>
        <v>0</v>
      </c>
      <c r="E87" s="257"/>
      <c r="F87" s="259">
        <v>0.01</v>
      </c>
      <c r="G87" s="259"/>
      <c r="H87" s="258">
        <f>D87*F87</f>
        <v>0</v>
      </c>
      <c r="I87" s="258"/>
      <c r="J87" s="89">
        <f>D80</f>
        <v>0</v>
      </c>
      <c r="K87" s="257">
        <v>0.3</v>
      </c>
      <c r="L87" s="257"/>
      <c r="M87" s="259">
        <v>2.5000000000000001E-2</v>
      </c>
      <c r="N87" s="259"/>
      <c r="O87" s="90">
        <f>J87*K87*M87</f>
        <v>0</v>
      </c>
      <c r="P87" s="90">
        <f>O87+H87</f>
        <v>0</v>
      </c>
      <c r="Q87" s="63">
        <f>P87*(44/28)</f>
        <v>0</v>
      </c>
      <c r="R87" s="103">
        <f>Q87*298</f>
        <v>0</v>
      </c>
    </row>
    <row r="89" spans="2:18" x14ac:dyDescent="0.25">
      <c r="B89" s="4" t="s">
        <v>65</v>
      </c>
    </row>
    <row r="91" spans="2:18" ht="69" customHeight="1" x14ac:dyDescent="0.25">
      <c r="B91" s="236" t="s">
        <v>124</v>
      </c>
      <c r="C91" s="92" t="s">
        <v>152</v>
      </c>
      <c r="D91" s="92" t="s">
        <v>153</v>
      </c>
      <c r="E91" s="93" t="s">
        <v>151</v>
      </c>
    </row>
    <row r="92" spans="2:18" x14ac:dyDescent="0.25">
      <c r="B92" s="236"/>
      <c r="C92" s="104">
        <f>C15</f>
        <v>0</v>
      </c>
      <c r="D92" s="133">
        <v>0.25</v>
      </c>
      <c r="E92" s="103">
        <f>D92*C92</f>
        <v>0</v>
      </c>
    </row>
    <row r="95" spans="2:18" x14ac:dyDescent="0.25">
      <c r="B95" s="4" t="s">
        <v>96</v>
      </c>
    </row>
    <row r="97" spans="3:6" ht="45" x14ac:dyDescent="0.25">
      <c r="C97" s="91" t="s">
        <v>85</v>
      </c>
      <c r="D97" s="91" t="s">
        <v>86</v>
      </c>
      <c r="E97" s="91" t="s">
        <v>53</v>
      </c>
      <c r="F97" s="91" t="s">
        <v>87</v>
      </c>
    </row>
    <row r="98" spans="3:6" x14ac:dyDescent="0.25">
      <c r="C98" s="95" t="s">
        <v>77</v>
      </c>
      <c r="D98" s="96">
        <v>0</v>
      </c>
      <c r="E98" s="47">
        <f>IF(ISNUMBER(VLOOKUP(C98,$C$52:$E$54,3,)),VLOOKUP(C98,$C$52:$E$54,3,),0)</f>
        <v>0</v>
      </c>
      <c r="F98" s="83">
        <f>E98*D98</f>
        <v>0</v>
      </c>
    </row>
    <row r="99" spans="3:6" x14ac:dyDescent="0.25">
      <c r="C99" s="95" t="s">
        <v>71</v>
      </c>
      <c r="D99" s="96">
        <v>2.4300000000000002</v>
      </c>
      <c r="E99" s="47">
        <f t="shared" ref="E99:E109" si="6">IF(ISNUMBER(VLOOKUP(C99,$C$52:$E$54,3,)),VLOOKUP(C99,$C$52:$E$54,3,),0)</f>
        <v>0</v>
      </c>
      <c r="F99" s="83">
        <f t="shared" ref="F99:F108" si="7">E99*D99</f>
        <v>0</v>
      </c>
    </row>
    <row r="100" spans="3:6" x14ac:dyDescent="0.25">
      <c r="C100" s="95" t="s">
        <v>72</v>
      </c>
      <c r="D100" s="96">
        <v>2.0059999999999998</v>
      </c>
      <c r="E100" s="47">
        <f t="shared" si="6"/>
        <v>0</v>
      </c>
      <c r="F100" s="83">
        <f t="shared" si="7"/>
        <v>0</v>
      </c>
    </row>
    <row r="101" spans="3:6" x14ac:dyDescent="0.25">
      <c r="C101" s="95" t="s">
        <v>78</v>
      </c>
      <c r="D101" s="96">
        <v>3.169</v>
      </c>
      <c r="E101" s="47">
        <f t="shared" si="6"/>
        <v>0</v>
      </c>
      <c r="F101" s="83">
        <f t="shared" si="7"/>
        <v>0</v>
      </c>
    </row>
    <row r="102" spans="3:6" x14ac:dyDescent="0.25">
      <c r="C102" s="95" t="s">
        <v>156</v>
      </c>
      <c r="D102" s="96">
        <v>295.26249999999999</v>
      </c>
      <c r="E102" s="47">
        <f t="shared" ref="E102" si="8">IF(ISNUMBER(VLOOKUP(C102,$C$52:$E$54,3,)),VLOOKUP(C102,$C$52:$E$54,3,),0)</f>
        <v>0</v>
      </c>
      <c r="F102" s="83">
        <f t="shared" ref="F102" si="9">E102*D102</f>
        <v>0</v>
      </c>
    </row>
    <row r="103" spans="3:6" x14ac:dyDescent="0.25">
      <c r="C103" s="95" t="s">
        <v>79</v>
      </c>
      <c r="D103" s="96">
        <v>3.1269999999999998</v>
      </c>
      <c r="E103" s="47">
        <f t="shared" si="6"/>
        <v>0</v>
      </c>
      <c r="F103" s="83">
        <f t="shared" si="7"/>
        <v>0</v>
      </c>
    </row>
    <row r="104" spans="3:6" x14ac:dyDescent="0.25">
      <c r="C104" s="95" t="s">
        <v>73</v>
      </c>
      <c r="D104" s="96">
        <v>2.964</v>
      </c>
      <c r="E104" s="47">
        <f t="shared" si="6"/>
        <v>0</v>
      </c>
      <c r="F104" s="83">
        <f t="shared" si="7"/>
        <v>0</v>
      </c>
    </row>
    <row r="105" spans="3:6" x14ac:dyDescent="0.25">
      <c r="C105" s="95" t="s">
        <v>80</v>
      </c>
      <c r="D105" s="96">
        <v>0.20200000000000001</v>
      </c>
      <c r="E105" s="47">
        <f t="shared" si="6"/>
        <v>0</v>
      </c>
      <c r="F105" s="83">
        <f t="shared" si="7"/>
        <v>0</v>
      </c>
    </row>
    <row r="106" spans="3:6" x14ac:dyDescent="0.25">
      <c r="C106" s="95" t="s">
        <v>74</v>
      </c>
      <c r="D106" s="96">
        <v>2.9380000000000002</v>
      </c>
      <c r="E106" s="47">
        <f t="shared" si="6"/>
        <v>0</v>
      </c>
      <c r="F106" s="83">
        <f t="shared" si="7"/>
        <v>0</v>
      </c>
    </row>
    <row r="107" spans="3:6" x14ac:dyDescent="0.25">
      <c r="C107" s="95" t="s">
        <v>81</v>
      </c>
      <c r="D107" s="96">
        <v>2.8679999999999999</v>
      </c>
      <c r="E107" s="47">
        <f t="shared" si="6"/>
        <v>0</v>
      </c>
      <c r="F107" s="83">
        <f t="shared" si="7"/>
        <v>0</v>
      </c>
    </row>
    <row r="108" spans="3:6" x14ac:dyDescent="0.25">
      <c r="C108" s="95" t="s">
        <v>82</v>
      </c>
      <c r="D108" s="96">
        <v>2.1960000000000002</v>
      </c>
      <c r="E108" s="47">
        <f t="shared" si="6"/>
        <v>0</v>
      </c>
      <c r="F108" s="83">
        <f t="shared" si="7"/>
        <v>0</v>
      </c>
    </row>
    <row r="109" spans="3:6" x14ac:dyDescent="0.25">
      <c r="C109" s="95" t="s">
        <v>83</v>
      </c>
      <c r="D109" s="96">
        <v>1.671</v>
      </c>
      <c r="E109" s="47">
        <f t="shared" si="6"/>
        <v>0</v>
      </c>
      <c r="F109" s="83">
        <f>E109*D109</f>
        <v>0</v>
      </c>
    </row>
    <row r="110" spans="3:6" ht="24.75" customHeight="1" x14ac:dyDescent="0.25">
      <c r="C110" s="156" t="s">
        <v>217</v>
      </c>
      <c r="D110" s="157">
        <v>2.762</v>
      </c>
      <c r="E110" s="158">
        <f t="shared" ref="E110" si="10">IF(ISNUMBER(VLOOKUP(C110,$C$52:$E$54,3,)),VLOOKUP(C110,$C$52:$E$54,3,),0)</f>
        <v>0</v>
      </c>
      <c r="F110" s="159">
        <f t="shared" ref="F110" si="11">E110*D110</f>
        <v>0</v>
      </c>
    </row>
    <row r="111" spans="3:6" x14ac:dyDescent="0.25">
      <c r="E111" s="97" t="s">
        <v>48</v>
      </c>
      <c r="F111" s="103">
        <f>SUM(F98:F110)</f>
        <v>0</v>
      </c>
    </row>
    <row r="113" spans="2:15" x14ac:dyDescent="0.25">
      <c r="B113" s="4" t="s">
        <v>97</v>
      </c>
    </row>
    <row r="114" spans="2:15" x14ac:dyDescent="0.25">
      <c r="B114" s="235" t="s">
        <v>124</v>
      </c>
      <c r="C114" s="146"/>
    </row>
    <row r="115" spans="2:15" ht="45" x14ac:dyDescent="0.25">
      <c r="B115" s="236"/>
      <c r="C115" s="213" t="s">
        <v>95</v>
      </c>
      <c r="D115" s="213"/>
      <c r="E115" s="91" t="s">
        <v>94</v>
      </c>
      <c r="F115" s="91" t="s">
        <v>93</v>
      </c>
      <c r="G115" s="91" t="s">
        <v>92</v>
      </c>
      <c r="H115" s="237" t="s">
        <v>98</v>
      </c>
      <c r="I115" s="238"/>
      <c r="J115" s="98" t="s">
        <v>99</v>
      </c>
      <c r="K115" s="98" t="s">
        <v>100</v>
      </c>
      <c r="L115" s="237" t="s">
        <v>101</v>
      </c>
      <c r="M115" s="238"/>
      <c r="N115" s="237" t="s">
        <v>102</v>
      </c>
      <c r="O115" s="238"/>
    </row>
    <row r="116" spans="2:15" x14ac:dyDescent="0.25">
      <c r="C116" s="227" t="s">
        <v>90</v>
      </c>
      <c r="D116" s="227"/>
      <c r="E116" s="99">
        <f>D28</f>
        <v>0</v>
      </c>
      <c r="F116" s="99">
        <f t="shared" ref="F116:G116" si="12">E28</f>
        <v>0</v>
      </c>
      <c r="G116" s="99">
        <f t="shared" si="12"/>
        <v>0</v>
      </c>
      <c r="H116" s="228">
        <v>3.6999999999999998E-2</v>
      </c>
      <c r="I116" s="229"/>
      <c r="J116" s="100">
        <v>2.5390000000000001</v>
      </c>
      <c r="K116" s="99">
        <f>F116*G116</f>
        <v>0</v>
      </c>
      <c r="L116" s="230">
        <f>G116*F116*E116</f>
        <v>0</v>
      </c>
      <c r="M116" s="231"/>
      <c r="N116" s="232">
        <f>L116*H116*J116/1000</f>
        <v>0</v>
      </c>
      <c r="O116" s="233"/>
    </row>
    <row r="117" spans="2:15" x14ac:dyDescent="0.25">
      <c r="C117" s="227" t="s">
        <v>91</v>
      </c>
      <c r="D117" s="227"/>
      <c r="E117" s="99">
        <f>P28</f>
        <v>0</v>
      </c>
      <c r="F117" s="99">
        <f t="shared" ref="F117:G117" si="13">Q28</f>
        <v>0</v>
      </c>
      <c r="G117" s="99">
        <f t="shared" si="13"/>
        <v>0</v>
      </c>
      <c r="H117" s="228">
        <v>3.6999999999999998E-2</v>
      </c>
      <c r="I117" s="229"/>
      <c r="J117" s="100">
        <v>2.5390000000000001</v>
      </c>
      <c r="K117" s="99">
        <f>F117*G117</f>
        <v>0</v>
      </c>
      <c r="L117" s="230">
        <f>G117*F117*E117</f>
        <v>0</v>
      </c>
      <c r="M117" s="231"/>
      <c r="N117" s="232">
        <f>L117*H117*J117/1000</f>
        <v>0</v>
      </c>
      <c r="O117" s="233"/>
    </row>
    <row r="118" spans="2:15" x14ac:dyDescent="0.25">
      <c r="M118" s="101" t="s">
        <v>48</v>
      </c>
      <c r="N118" s="225">
        <f>SUM(O116:O117)</f>
        <v>0</v>
      </c>
      <c r="O118" s="226"/>
    </row>
  </sheetData>
  <sheetProtection algorithmName="SHA-512" hashValue="s9EtrctZzBrEAyE+YMDzC7kCX8DBaZ88wIaHLXWp912RVeaLm0hTT9IRJXHxwYoz+gyFCwRbK3NNVquDcfjmFA==" saltValue="BGkmVVV+UAn3cqmo6+r6Ug==" spinCount="100000" sheet="1" objects="1" scenarios="1" formatCells="0" formatColumns="0" formatRows="0" insertColumns="0" insertRows="0" insertHyperlinks="0" deleteColumns="0" deleteRows="0" sort="0" autoFilter="0" pivotTables="0"/>
  <protectedRanges>
    <protectedRange sqref="C11:D11 C15 C20:E22 I15:K20 I23:K24 O11:P11 O15:P16 O21:P21 P28:R28 D28:F28 D92" name="Rango2"/>
    <protectedRange sqref="C92:D92" name="Rango1_3"/>
  </protectedRanges>
  <mergeCells count="165">
    <mergeCell ref="B78:C78"/>
    <mergeCell ref="B79:C79"/>
    <mergeCell ref="B80:C80"/>
    <mergeCell ref="B85:C85"/>
    <mergeCell ref="M85:N85"/>
    <mergeCell ref="G79:H79"/>
    <mergeCell ref="G80:H80"/>
    <mergeCell ref="D82:R82"/>
    <mergeCell ref="J83:O83"/>
    <mergeCell ref="P83:R83"/>
    <mergeCell ref="P84:R84"/>
    <mergeCell ref="K85:L85"/>
    <mergeCell ref="Q46:R46"/>
    <mergeCell ref="Q47:R47"/>
    <mergeCell ref="N63:S66"/>
    <mergeCell ref="K84:L84"/>
    <mergeCell ref="S60:T60"/>
    <mergeCell ref="S56:T59"/>
    <mergeCell ref="L58:L59"/>
    <mergeCell ref="I76:M76"/>
    <mergeCell ref="M84:N84"/>
    <mergeCell ref="K77:M77"/>
    <mergeCell ref="J49:L49"/>
    <mergeCell ref="J50:L50"/>
    <mergeCell ref="J45:L46"/>
    <mergeCell ref="J47:L47"/>
    <mergeCell ref="F77:H77"/>
    <mergeCell ref="D84:E84"/>
    <mergeCell ref="D85:E85"/>
    <mergeCell ref="D86:E86"/>
    <mergeCell ref="G78:H78"/>
    <mergeCell ref="D83:I83"/>
    <mergeCell ref="F84:G84"/>
    <mergeCell ref="F85:G85"/>
    <mergeCell ref="H84:I84"/>
    <mergeCell ref="H85:I85"/>
    <mergeCell ref="F86:G86"/>
    <mergeCell ref="N38:T38"/>
    <mergeCell ref="I31:N34"/>
    <mergeCell ref="Q26:Q27"/>
    <mergeCell ref="R26:R27"/>
    <mergeCell ref="C58:C59"/>
    <mergeCell ref="D58:D59"/>
    <mergeCell ref="E58:E59"/>
    <mergeCell ref="J58:K59"/>
    <mergeCell ref="B49:B50"/>
    <mergeCell ref="T41:U42"/>
    <mergeCell ref="T43:U43"/>
    <mergeCell ref="O41:S41"/>
    <mergeCell ref="T45:U46"/>
    <mergeCell ref="T47:U47"/>
    <mergeCell ref="T48:U48"/>
    <mergeCell ref="O45:S45"/>
    <mergeCell ref="P58:P59"/>
    <mergeCell ref="Q58:Q59"/>
    <mergeCell ref="R58:R59"/>
    <mergeCell ref="Q42:R42"/>
    <mergeCell ref="O58:O59"/>
    <mergeCell ref="J48:L48"/>
    <mergeCell ref="Q48:R48"/>
    <mergeCell ref="O50:P50"/>
    <mergeCell ref="F58:F59"/>
    <mergeCell ref="C65:D66"/>
    <mergeCell ref="C69:D69"/>
    <mergeCell ref="E67:F67"/>
    <mergeCell ref="E68:F68"/>
    <mergeCell ref="E69:F69"/>
    <mergeCell ref="E65:F66"/>
    <mergeCell ref="D76:H76"/>
    <mergeCell ref="I28:M30"/>
    <mergeCell ref="I37:K38"/>
    <mergeCell ref="B38:G38"/>
    <mergeCell ref="G60:H60"/>
    <mergeCell ref="C41:D41"/>
    <mergeCell ref="J41:L44"/>
    <mergeCell ref="B45:B46"/>
    <mergeCell ref="D45:D46"/>
    <mergeCell ref="I39:K40"/>
    <mergeCell ref="B6:G6"/>
    <mergeCell ref="I9:K12"/>
    <mergeCell ref="C26:C27"/>
    <mergeCell ref="D26:D27"/>
    <mergeCell ref="E26:E27"/>
    <mergeCell ref="F26:F27"/>
    <mergeCell ref="N6:T6"/>
    <mergeCell ref="I5:K6"/>
    <mergeCell ref="I13:K14"/>
    <mergeCell ref="I21:K22"/>
    <mergeCell ref="I23:K24"/>
    <mergeCell ref="Q15:R15"/>
    <mergeCell ref="Q16:R16"/>
    <mergeCell ref="O24:R25"/>
    <mergeCell ref="I26:J27"/>
    <mergeCell ref="K26:K27"/>
    <mergeCell ref="Q10:R10"/>
    <mergeCell ref="O9:R9"/>
    <mergeCell ref="C19:D19"/>
    <mergeCell ref="C20:D20"/>
    <mergeCell ref="C21:D21"/>
    <mergeCell ref="C22:D22"/>
    <mergeCell ref="C17:D18"/>
    <mergeCell ref="I7:K8"/>
    <mergeCell ref="O19:O20"/>
    <mergeCell ref="P19:P20"/>
    <mergeCell ref="B13:B14"/>
    <mergeCell ref="I15:K15"/>
    <mergeCell ref="I16:K16"/>
    <mergeCell ref="I17:K17"/>
    <mergeCell ref="I18:K18"/>
    <mergeCell ref="O18:P18"/>
    <mergeCell ref="N24:N25"/>
    <mergeCell ref="I19:K19"/>
    <mergeCell ref="I20:K20"/>
    <mergeCell ref="C24:F25"/>
    <mergeCell ref="B17:B18"/>
    <mergeCell ref="B24:B25"/>
    <mergeCell ref="C9:D9"/>
    <mergeCell ref="Q14:R14"/>
    <mergeCell ref="O13:R13"/>
    <mergeCell ref="O26:O27"/>
    <mergeCell ref="Q19:S21"/>
    <mergeCell ref="P26:P27"/>
    <mergeCell ref="C54:D54"/>
    <mergeCell ref="J55:L56"/>
    <mergeCell ref="B56:B57"/>
    <mergeCell ref="C56:F57"/>
    <mergeCell ref="N56:N57"/>
    <mergeCell ref="O56:R57"/>
    <mergeCell ref="O51:O52"/>
    <mergeCell ref="P51:P52"/>
    <mergeCell ref="C52:D52"/>
    <mergeCell ref="J52:L52"/>
    <mergeCell ref="J51:L51"/>
    <mergeCell ref="Q50:Q52"/>
    <mergeCell ref="C53:D53"/>
    <mergeCell ref="J53:L54"/>
    <mergeCell ref="G56:H59"/>
    <mergeCell ref="C49:E50"/>
    <mergeCell ref="F49:F51"/>
    <mergeCell ref="C51:D51"/>
    <mergeCell ref="C116:D116"/>
    <mergeCell ref="C117:D117"/>
    <mergeCell ref="N116:O116"/>
    <mergeCell ref="N117:O117"/>
    <mergeCell ref="N118:O118"/>
    <mergeCell ref="H115:I115"/>
    <mergeCell ref="H116:I116"/>
    <mergeCell ref="H117:I117"/>
    <mergeCell ref="L115:M115"/>
    <mergeCell ref="L116:M116"/>
    <mergeCell ref="L117:M117"/>
    <mergeCell ref="B87:C87"/>
    <mergeCell ref="B91:B92"/>
    <mergeCell ref="B114:B115"/>
    <mergeCell ref="N115:O115"/>
    <mergeCell ref="C115:D115"/>
    <mergeCell ref="D87:E87"/>
    <mergeCell ref="H86:I86"/>
    <mergeCell ref="H87:I87"/>
    <mergeCell ref="K86:L86"/>
    <mergeCell ref="K87:L87"/>
    <mergeCell ref="F87:G87"/>
    <mergeCell ref="M87:N87"/>
    <mergeCell ref="B86:C86"/>
    <mergeCell ref="M86:N86"/>
  </mergeCells>
  <phoneticPr fontId="0" type="noConversion"/>
  <dataValidations count="5">
    <dataValidation errorStyle="warning" allowBlank="1" showInputMessage="1" showErrorMessage="1" error="Debe introducir un dato del listado" sqref="Q47:R48 Q15:R16" xr:uid="{00000000-0002-0000-0300-000000000000}"/>
    <dataValidation type="list" allowBlank="1" showInputMessage="1" showErrorMessage="1" sqref="W53:X53 W21:X21" xr:uid="{00000000-0002-0000-0300-000001000000}">
      <formula1>Combustible</formula1>
    </dataValidation>
    <dataValidation type="list" errorStyle="warning" allowBlank="1" showInputMessage="1" showErrorMessage="1" error="Debe introducir un dato del listado" sqref="W49 W17" xr:uid="{00000000-0002-0000-0300-000002000000}">
      <formula1>DESTINO_FS</formula1>
    </dataValidation>
    <dataValidation type="list" allowBlank="1" showInputMessage="1" showErrorMessage="1" sqref="I15:I20" xr:uid="{00000000-0002-0000-0300-000003000000}">
      <formula1>Proceso</formula1>
    </dataValidation>
    <dataValidation type="list" allowBlank="1" showInputMessage="1" showErrorMessage="1" sqref="C20:D22" xr:uid="{00000000-0002-0000-0300-000004000000}">
      <formula1>COMBUSTIBLE2</formula1>
    </dataValidation>
  </dataValidations>
  <pageMargins left="0.74803149606299213" right="0.74803149606299213" top="0.35433070866141736" bottom="0.98425196850393704" header="0" footer="0"/>
  <pageSetup paperSize="9" scale="65"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2"/>
  <sheetViews>
    <sheetView workbookViewId="0"/>
  </sheetViews>
  <sheetFormatPr baseColWidth="10" defaultColWidth="11.42578125" defaultRowHeight="15" x14ac:dyDescent="0.2"/>
  <cols>
    <col min="1" max="1" width="11.42578125" style="12"/>
    <col min="2" max="4" width="16.7109375" style="12" customWidth="1"/>
    <col min="5" max="5" width="18.28515625" style="12" customWidth="1"/>
    <col min="6" max="6" width="16" style="12" customWidth="1"/>
    <col min="7" max="7" width="6.42578125" style="12" customWidth="1"/>
    <col min="8" max="16384" width="11.42578125" style="12"/>
  </cols>
  <sheetData>
    <row r="1" spans="2:4" s="105" customFormat="1" ht="6.75" customHeight="1" x14ac:dyDescent="0.2"/>
    <row r="2" spans="2:4" s="105" customFormat="1" ht="23.25" x14ac:dyDescent="0.35">
      <c r="B2" s="106" t="s">
        <v>29</v>
      </c>
      <c r="C2" s="106"/>
    </row>
    <row r="3" spans="2:4" s="105" customFormat="1" ht="10.5" customHeight="1" x14ac:dyDescent="0.2">
      <c r="B3" s="107"/>
      <c r="C3" s="107"/>
    </row>
    <row r="4" spans="2:4" s="105" customFormat="1" ht="21" x14ac:dyDescent="0.2">
      <c r="B4" s="107" t="s">
        <v>31</v>
      </c>
      <c r="C4" s="107"/>
    </row>
    <row r="5" spans="2:4" s="105" customFormat="1" ht="9" customHeight="1" x14ac:dyDescent="0.2"/>
    <row r="6" spans="2:4" s="105" customFormat="1" x14ac:dyDescent="0.2">
      <c r="B6" s="334" t="s">
        <v>13</v>
      </c>
      <c r="C6" s="334"/>
      <c r="D6" s="144" t="s">
        <v>1</v>
      </c>
    </row>
    <row r="7" spans="2:4" s="105" customFormat="1" x14ac:dyDescent="0.2">
      <c r="B7" s="334"/>
      <c r="C7" s="334"/>
      <c r="D7" s="144" t="s">
        <v>5</v>
      </c>
    </row>
    <row r="8" spans="2:4" s="105" customFormat="1" ht="21" x14ac:dyDescent="0.2">
      <c r="B8" s="118" t="s">
        <v>22</v>
      </c>
      <c r="C8" s="118"/>
      <c r="D8" s="119">
        <f>'Emisiones línea base (EB)'!D91</f>
        <v>0</v>
      </c>
    </row>
    <row r="9" spans="2:4" s="105" customFormat="1" x14ac:dyDescent="0.2"/>
    <row r="10" spans="2:4" s="105" customFormat="1" x14ac:dyDescent="0.2"/>
    <row r="11" spans="2:4" s="105" customFormat="1" ht="21" x14ac:dyDescent="0.2">
      <c r="B11" s="107" t="s">
        <v>32</v>
      </c>
      <c r="C11" s="107"/>
    </row>
    <row r="12" spans="2:4" s="105" customFormat="1" ht="5.25" customHeight="1" x14ac:dyDescent="0.2"/>
    <row r="13" spans="2:4" s="105" customFormat="1" x14ac:dyDescent="0.2">
      <c r="B13" s="334" t="s">
        <v>13</v>
      </c>
      <c r="C13" s="334"/>
      <c r="D13" s="144" t="s">
        <v>1</v>
      </c>
    </row>
    <row r="14" spans="2:4" s="105" customFormat="1" x14ac:dyDescent="0.2">
      <c r="B14" s="334"/>
      <c r="C14" s="334"/>
      <c r="D14" s="144" t="s">
        <v>5</v>
      </c>
    </row>
    <row r="15" spans="2:4" s="105" customFormat="1" ht="21" x14ac:dyDescent="0.2">
      <c r="B15" s="118" t="s">
        <v>23</v>
      </c>
      <c r="C15" s="118"/>
      <c r="D15" s="119">
        <f>'Emisiones línea proyecto (EP)'!E68</f>
        <v>0</v>
      </c>
    </row>
    <row r="16" spans="2:4" s="105" customFormat="1" x14ac:dyDescent="0.2"/>
    <row r="17" spans="2:12" s="105" customFormat="1" x14ac:dyDescent="0.2"/>
    <row r="18" spans="2:12" s="105" customFormat="1" ht="21" x14ac:dyDescent="0.2">
      <c r="B18" s="107" t="s">
        <v>21</v>
      </c>
      <c r="C18" s="107"/>
    </row>
    <row r="19" spans="2:12" s="105" customFormat="1" ht="21" x14ac:dyDescent="0.2">
      <c r="B19" s="107"/>
      <c r="C19" s="107"/>
      <c r="D19" s="144" t="s">
        <v>1</v>
      </c>
    </row>
    <row r="20" spans="2:12" s="105" customFormat="1" x14ac:dyDescent="0.2">
      <c r="D20" s="144" t="s">
        <v>5</v>
      </c>
    </row>
    <row r="21" spans="2:12" s="105" customFormat="1" ht="21" x14ac:dyDescent="0.2">
      <c r="B21" s="118" t="s">
        <v>30</v>
      </c>
      <c r="C21" s="118"/>
      <c r="D21" s="119">
        <f>D8-D15</f>
        <v>0</v>
      </c>
    </row>
    <row r="22" spans="2:12" s="105" customFormat="1" x14ac:dyDescent="0.2"/>
    <row r="23" spans="2:12" s="105" customFormat="1" ht="23.25" x14ac:dyDescent="0.35">
      <c r="B23" s="106" t="s">
        <v>154</v>
      </c>
      <c r="C23" s="106"/>
    </row>
    <row r="24" spans="2:12" s="105" customFormat="1" x14ac:dyDescent="0.2"/>
    <row r="25" spans="2:12" s="105" customFormat="1" x14ac:dyDescent="0.2"/>
    <row r="26" spans="2:12" s="105" customFormat="1" ht="15.75" x14ac:dyDescent="0.2">
      <c r="E26" s="120" t="s">
        <v>1</v>
      </c>
      <c r="H26" s="330" t="s">
        <v>216</v>
      </c>
      <c r="I26" s="330"/>
      <c r="J26" s="330"/>
      <c r="K26" s="330"/>
      <c r="L26" s="330"/>
    </row>
    <row r="27" spans="2:12" s="105" customFormat="1" ht="15.75" x14ac:dyDescent="0.2">
      <c r="E27" s="120" t="s">
        <v>5</v>
      </c>
      <c r="H27" s="330"/>
      <c r="I27" s="330"/>
      <c r="J27" s="330"/>
      <c r="K27" s="330"/>
      <c r="L27" s="330"/>
    </row>
    <row r="28" spans="2:12" s="105" customFormat="1" ht="21" x14ac:dyDescent="0.2">
      <c r="B28" s="332" t="s">
        <v>162</v>
      </c>
      <c r="C28" s="332"/>
      <c r="D28" s="332"/>
      <c r="E28" s="116">
        <f>D8</f>
        <v>0</v>
      </c>
      <c r="H28" s="330"/>
      <c r="I28" s="330"/>
      <c r="J28" s="330"/>
      <c r="K28" s="330"/>
      <c r="L28" s="330"/>
    </row>
    <row r="29" spans="2:12" s="105" customFormat="1" ht="21" x14ac:dyDescent="0.2">
      <c r="B29" s="331" t="s">
        <v>23</v>
      </c>
      <c r="C29" s="143" t="s">
        <v>155</v>
      </c>
      <c r="D29" s="143"/>
      <c r="E29" s="116">
        <f>'Emisiones línea proyecto (EP)'!E68:F68</f>
        <v>0</v>
      </c>
      <c r="H29" s="330"/>
      <c r="I29" s="330"/>
      <c r="J29" s="330"/>
      <c r="K29" s="330"/>
      <c r="L29" s="330"/>
    </row>
    <row r="30" spans="2:12" s="105" customFormat="1" ht="21" x14ac:dyDescent="0.2">
      <c r="B30" s="331"/>
      <c r="C30" s="143" t="s">
        <v>118</v>
      </c>
      <c r="D30" s="143"/>
      <c r="E30" s="116">
        <f>'Emisiones línea proyecto (EP)'!E69:F69-'Emisiones línea base (EB)'!M82</f>
        <v>0</v>
      </c>
      <c r="H30" s="330"/>
      <c r="I30" s="330"/>
      <c r="J30" s="330"/>
      <c r="K30" s="330"/>
      <c r="L30" s="330"/>
    </row>
    <row r="31" spans="2:12" s="105" customFormat="1" ht="21" x14ac:dyDescent="0.2">
      <c r="B31" s="333" t="s">
        <v>30</v>
      </c>
      <c r="C31" s="333"/>
      <c r="D31" s="333"/>
      <c r="E31" s="117">
        <f>E28-E29-E30</f>
        <v>0</v>
      </c>
      <c r="F31" s="154">
        <f>IF(ISNUMBER(1-SUM(E29:E30)/E28),1-SUM(E29:E30)/E28,0)</f>
        <v>0</v>
      </c>
      <c r="H31" s="330"/>
      <c r="I31" s="330"/>
      <c r="J31" s="330"/>
      <c r="K31" s="330"/>
      <c r="L31" s="330"/>
    </row>
    <row r="32" spans="2:12" s="105" customFormat="1" x14ac:dyDescent="0.2"/>
  </sheetData>
  <sheetProtection password="D151" sheet="1" objects="1" scenarios="1" formatCells="0" formatColumns="0" formatRows="0" insertColumns="0" insertRows="0" insertHyperlinks="0" deleteColumns="0" deleteRows="0" sort="0" autoFilter="0" pivotTables="0"/>
  <mergeCells count="6">
    <mergeCell ref="H26:L31"/>
    <mergeCell ref="B29:B30"/>
    <mergeCell ref="B28:D28"/>
    <mergeCell ref="B31:D31"/>
    <mergeCell ref="B6:C7"/>
    <mergeCell ref="B13:C14"/>
  </mergeCells>
  <phoneticPr fontId="4" type="noConversion"/>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K23"/>
  <sheetViews>
    <sheetView workbookViewId="0">
      <selection activeCell="B19" sqref="B19:C19"/>
    </sheetView>
  </sheetViews>
  <sheetFormatPr baseColWidth="10" defaultColWidth="11.42578125" defaultRowHeight="12.75" x14ac:dyDescent="0.2"/>
  <cols>
    <col min="1" max="16384" width="11.42578125" style="121"/>
  </cols>
  <sheetData>
    <row r="3" spans="2:11" ht="18.75" x14ac:dyDescent="0.3">
      <c r="B3" s="61" t="s">
        <v>219</v>
      </c>
      <c r="C3" s="160"/>
      <c r="D3" s="161"/>
      <c r="E3" s="161"/>
    </row>
    <row r="4" spans="2:11" ht="15" x14ac:dyDescent="0.25">
      <c r="B4" s="161"/>
      <c r="C4" s="160"/>
      <c r="D4" s="161"/>
      <c r="E4" s="161"/>
    </row>
    <row r="5" spans="2:11" ht="15" customHeight="1" x14ac:dyDescent="0.2">
      <c r="B5" s="338" t="s">
        <v>226</v>
      </c>
      <c r="C5" s="338"/>
      <c r="D5" s="338"/>
      <c r="E5" s="338"/>
      <c r="F5" s="338"/>
      <c r="G5" s="338"/>
      <c r="H5" s="338"/>
      <c r="I5" s="338"/>
      <c r="J5" s="338"/>
      <c r="K5" s="338"/>
    </row>
    <row r="6" spans="2:11" ht="15" customHeight="1" x14ac:dyDescent="0.2">
      <c r="B6" s="338"/>
      <c r="C6" s="338"/>
      <c r="D6" s="338"/>
      <c r="E6" s="338"/>
      <c r="F6" s="338"/>
      <c r="G6" s="338"/>
      <c r="H6" s="338"/>
      <c r="I6" s="338"/>
      <c r="J6" s="338"/>
      <c r="K6" s="338"/>
    </row>
    <row r="7" spans="2:11" ht="15" x14ac:dyDescent="0.25">
      <c r="B7" s="161"/>
      <c r="C7" s="160"/>
      <c r="D7" s="161"/>
      <c r="E7" s="161"/>
    </row>
    <row r="8" spans="2:11" ht="15" customHeight="1" x14ac:dyDescent="0.3">
      <c r="B8" s="148" t="s">
        <v>220</v>
      </c>
      <c r="C8" s="61"/>
      <c r="D8" s="61"/>
      <c r="E8" s="61"/>
    </row>
    <row r="9" spans="2:11" ht="15" x14ac:dyDescent="0.2">
      <c r="B9" s="164"/>
      <c r="C9" s="164"/>
      <c r="D9" s="164"/>
      <c r="E9" s="164"/>
    </row>
    <row r="10" spans="2:11" ht="38.25" customHeight="1" x14ac:dyDescent="0.2">
      <c r="B10" s="339" t="s">
        <v>224</v>
      </c>
      <c r="C10" s="340"/>
      <c r="D10" s="343" t="s">
        <v>223</v>
      </c>
      <c r="E10" s="343" t="s">
        <v>222</v>
      </c>
      <c r="F10" s="345" t="s">
        <v>40</v>
      </c>
      <c r="G10" s="346"/>
      <c r="H10" s="345" t="s">
        <v>12</v>
      </c>
      <c r="I10" s="346"/>
    </row>
    <row r="11" spans="2:11" ht="15.75" x14ac:dyDescent="0.2">
      <c r="B11" s="341"/>
      <c r="C11" s="342"/>
      <c r="D11" s="344"/>
      <c r="E11" s="344"/>
      <c r="F11" s="162" t="s">
        <v>62</v>
      </c>
      <c r="G11" s="162" t="s">
        <v>61</v>
      </c>
      <c r="H11" s="162" t="s">
        <v>62</v>
      </c>
      <c r="I11" s="162" t="s">
        <v>61</v>
      </c>
    </row>
    <row r="12" spans="2:11" ht="15" x14ac:dyDescent="0.25">
      <c r="B12" s="335"/>
      <c r="C12" s="336"/>
      <c r="D12" s="163">
        <v>0.95199999999999996</v>
      </c>
      <c r="E12" s="163">
        <v>0.189</v>
      </c>
      <c r="F12" s="165">
        <f>IF(ISNUMBER($B$12),($B$12*D12/1000),0)</f>
        <v>0</v>
      </c>
      <c r="G12" s="166">
        <f>F12/0.000716</f>
        <v>0</v>
      </c>
      <c r="H12" s="165">
        <f>IF(ISNUMBER($B$12),($B$12*E12/1000),0)</f>
        <v>0</v>
      </c>
      <c r="I12" s="166">
        <f>H12/0.0012228</f>
        <v>0</v>
      </c>
    </row>
    <row r="15" spans="2:11" ht="18.75" x14ac:dyDescent="0.3">
      <c r="B15" s="148" t="s">
        <v>221</v>
      </c>
    </row>
    <row r="17" spans="2:9" ht="34.5" customHeight="1" x14ac:dyDescent="0.2">
      <c r="B17" s="339" t="s">
        <v>225</v>
      </c>
      <c r="C17" s="340"/>
      <c r="D17" s="343" t="s">
        <v>223</v>
      </c>
      <c r="E17" s="343" t="s">
        <v>222</v>
      </c>
      <c r="F17" s="345" t="s">
        <v>40</v>
      </c>
      <c r="G17" s="346"/>
      <c r="H17" s="345" t="s">
        <v>12</v>
      </c>
      <c r="I17" s="346"/>
    </row>
    <row r="18" spans="2:9" ht="15.75" x14ac:dyDescent="0.2">
      <c r="B18" s="341"/>
      <c r="C18" s="342"/>
      <c r="D18" s="344"/>
      <c r="E18" s="344"/>
      <c r="F18" s="162" t="s">
        <v>62</v>
      </c>
      <c r="G18" s="162" t="s">
        <v>61</v>
      </c>
      <c r="H18" s="162" t="s">
        <v>62</v>
      </c>
      <c r="I18" s="162" t="s">
        <v>61</v>
      </c>
    </row>
    <row r="19" spans="2:9" ht="15" x14ac:dyDescent="0.25">
      <c r="B19" s="335"/>
      <c r="C19" s="336"/>
      <c r="D19" s="163">
        <v>0.8</v>
      </c>
      <c r="E19" s="163">
        <v>0</v>
      </c>
      <c r="F19" s="165">
        <f>IF(ISNUMBER($B$19),($B$19*D19/1000),0)</f>
        <v>0</v>
      </c>
      <c r="G19" s="166">
        <f>F19/0.000716</f>
        <v>0</v>
      </c>
      <c r="H19" s="165">
        <f>IF(ISNUMBER($B$19),($B$19*E19/1000),0)</f>
        <v>0</v>
      </c>
      <c r="I19" s="166">
        <v>0</v>
      </c>
    </row>
    <row r="23" spans="2:9" ht="15" x14ac:dyDescent="0.2">
      <c r="B23" s="337"/>
      <c r="C23" s="337"/>
      <c r="D23" s="337"/>
      <c r="E23" s="337"/>
    </row>
  </sheetData>
  <sheetProtection password="D151" sheet="1" objects="1" scenarios="1"/>
  <protectedRanges>
    <protectedRange sqref="F12 H12 F19 H19" name="Rango2"/>
    <protectedRange sqref="F12 H12 F19 H19" name="Rango1_2"/>
  </protectedRanges>
  <mergeCells count="14">
    <mergeCell ref="B19:C19"/>
    <mergeCell ref="B23:E23"/>
    <mergeCell ref="B5:K6"/>
    <mergeCell ref="B12:C12"/>
    <mergeCell ref="B17:C18"/>
    <mergeCell ref="D17:D18"/>
    <mergeCell ref="E17:E18"/>
    <mergeCell ref="F17:G17"/>
    <mergeCell ref="H17:I17"/>
    <mergeCell ref="E10:E11"/>
    <mergeCell ref="F10:G10"/>
    <mergeCell ref="H10:I10"/>
    <mergeCell ref="B10:C11"/>
    <mergeCell ref="D10:D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5"/>
  <sheetViews>
    <sheetView workbookViewId="0">
      <selection activeCell="H26" sqref="H26"/>
    </sheetView>
  </sheetViews>
  <sheetFormatPr baseColWidth="10" defaultColWidth="11.42578125" defaultRowHeight="12.75" x14ac:dyDescent="0.2"/>
  <cols>
    <col min="1" max="1" width="11.42578125" style="121"/>
    <col min="2" max="2" width="26.42578125" style="121" customWidth="1"/>
    <col min="3" max="16384" width="11.42578125" style="121"/>
  </cols>
  <sheetData>
    <row r="1" spans="1:5" ht="18.75" x14ac:dyDescent="0.3">
      <c r="A1" s="61" t="s">
        <v>177</v>
      </c>
    </row>
    <row r="3" spans="1:5" ht="15" x14ac:dyDescent="0.25">
      <c r="B3" s="128" t="s">
        <v>75</v>
      </c>
      <c r="C3" s="3"/>
      <c r="D3" s="3"/>
      <c r="E3" s="3"/>
    </row>
    <row r="4" spans="1:5" ht="15" x14ac:dyDescent="0.25">
      <c r="B4" s="1" t="s">
        <v>69</v>
      </c>
      <c r="C4" s="3"/>
      <c r="D4" s="3"/>
      <c r="E4" s="3"/>
    </row>
    <row r="5" spans="1:5" ht="15" x14ac:dyDescent="0.25">
      <c r="B5" s="1" t="s">
        <v>64</v>
      </c>
      <c r="C5" s="3"/>
      <c r="D5" s="3"/>
      <c r="E5" s="3"/>
    </row>
    <row r="6" spans="1:5" ht="15" x14ac:dyDescent="0.25">
      <c r="B6" s="1" t="s">
        <v>39</v>
      </c>
      <c r="C6" s="3"/>
      <c r="D6" s="3"/>
      <c r="E6" s="3"/>
    </row>
    <row r="7" spans="1:5" ht="15" x14ac:dyDescent="0.25">
      <c r="B7" s="3"/>
      <c r="C7" s="3"/>
      <c r="D7" s="3"/>
      <c r="E7" s="3"/>
    </row>
    <row r="8" spans="1:5" ht="15" x14ac:dyDescent="0.25">
      <c r="B8" s="128" t="s">
        <v>76</v>
      </c>
      <c r="C8" s="3"/>
      <c r="D8" s="3"/>
      <c r="E8" s="3"/>
    </row>
    <row r="9" spans="1:5" ht="15" x14ac:dyDescent="0.25">
      <c r="B9" s="122" t="s">
        <v>77</v>
      </c>
      <c r="C9" s="3"/>
      <c r="D9" s="3"/>
      <c r="E9" s="3"/>
    </row>
    <row r="10" spans="1:5" ht="15" x14ac:dyDescent="0.25">
      <c r="B10" s="122" t="s">
        <v>71</v>
      </c>
      <c r="C10" s="3"/>
      <c r="D10" s="3"/>
      <c r="E10" s="3"/>
    </row>
    <row r="11" spans="1:5" ht="15" x14ac:dyDescent="0.25">
      <c r="B11" s="122" t="s">
        <v>72</v>
      </c>
      <c r="C11" s="3"/>
      <c r="D11" s="3"/>
      <c r="E11" s="3"/>
    </row>
    <row r="12" spans="1:5" ht="15" x14ac:dyDescent="0.25">
      <c r="B12" s="122" t="s">
        <v>78</v>
      </c>
      <c r="C12" s="3"/>
      <c r="D12" s="3"/>
      <c r="E12" s="3"/>
    </row>
    <row r="13" spans="1:5" ht="15" x14ac:dyDescent="0.25">
      <c r="B13" s="122" t="s">
        <v>156</v>
      </c>
      <c r="C13" s="3"/>
      <c r="D13" s="3"/>
      <c r="E13" s="3"/>
    </row>
    <row r="14" spans="1:5" ht="15" x14ac:dyDescent="0.25">
      <c r="B14" s="122" t="s">
        <v>79</v>
      </c>
      <c r="C14" s="3"/>
      <c r="D14" s="3"/>
      <c r="E14" s="3"/>
    </row>
    <row r="15" spans="1:5" ht="15" x14ac:dyDescent="0.25">
      <c r="B15" s="122" t="s">
        <v>73</v>
      </c>
      <c r="C15" s="3"/>
      <c r="D15" s="3"/>
      <c r="E15" s="3"/>
    </row>
    <row r="16" spans="1:5" ht="15" x14ac:dyDescent="0.25">
      <c r="B16" s="122" t="s">
        <v>80</v>
      </c>
      <c r="C16" s="3"/>
      <c r="D16" s="3"/>
      <c r="E16" s="3"/>
    </row>
    <row r="17" spans="2:5" ht="15" x14ac:dyDescent="0.25">
      <c r="B17" s="122" t="s">
        <v>74</v>
      </c>
      <c r="C17" s="3"/>
      <c r="D17" s="3"/>
      <c r="E17" s="3"/>
    </row>
    <row r="18" spans="2:5" ht="15" x14ac:dyDescent="0.25">
      <c r="B18" s="122" t="s">
        <v>81</v>
      </c>
      <c r="C18" s="3"/>
      <c r="D18" s="3"/>
      <c r="E18" s="3"/>
    </row>
    <row r="19" spans="2:5" ht="15" x14ac:dyDescent="0.25">
      <c r="B19" s="122" t="s">
        <v>82</v>
      </c>
      <c r="C19" s="3"/>
      <c r="D19" s="3"/>
      <c r="E19" s="3"/>
    </row>
    <row r="20" spans="2:5" ht="15" x14ac:dyDescent="0.25">
      <c r="B20" s="122" t="s">
        <v>83</v>
      </c>
      <c r="C20" s="3"/>
      <c r="D20" s="3"/>
      <c r="E20" s="3"/>
    </row>
    <row r="21" spans="2:5" ht="15" x14ac:dyDescent="0.25">
      <c r="B21" s="122" t="s">
        <v>218</v>
      </c>
      <c r="C21" s="3"/>
      <c r="D21" s="3"/>
      <c r="E21" s="3"/>
    </row>
    <row r="22" spans="2:5" ht="15" x14ac:dyDescent="0.25">
      <c r="B22" s="122" t="s">
        <v>84</v>
      </c>
      <c r="C22" s="3"/>
      <c r="D22" s="3"/>
      <c r="E22" s="3"/>
    </row>
    <row r="23" spans="2:5" ht="15" x14ac:dyDescent="0.25">
      <c r="B23" s="3"/>
      <c r="C23" s="3"/>
      <c r="D23" s="3"/>
      <c r="E23" s="3"/>
    </row>
    <row r="24" spans="2:5" ht="15" x14ac:dyDescent="0.25">
      <c r="B24" s="128" t="str">
        <f>'Emisiones línea proyecto (EP)'!Q14</f>
        <v>Destino final</v>
      </c>
      <c r="C24" s="128" t="str">
        <f>'Emisiones línea proyecto (EP)'!O14</f>
        <v>t/año</v>
      </c>
      <c r="D24" s="128" t="str">
        <f>'Emisiones línea proyecto (EP)'!P14</f>
        <v>t N/año</v>
      </c>
      <c r="E24" s="3"/>
    </row>
    <row r="25" spans="2:5" ht="15" x14ac:dyDescent="0.25">
      <c r="B25" s="1" t="str">
        <f>'Emisiones línea proyecto (EP)'!Q15</f>
        <v>APLICACIÓN EN CAMPO</v>
      </c>
      <c r="C25" s="1">
        <f>'Emisiones línea proyecto (EP)'!O15</f>
        <v>0</v>
      </c>
      <c r="D25" s="1">
        <f>'Emisiones línea proyecto (EP)'!P15</f>
        <v>0</v>
      </c>
      <c r="E25" s="3"/>
    </row>
    <row r="26" spans="2:5" ht="15" x14ac:dyDescent="0.25">
      <c r="B26" s="1" t="str">
        <f>'Emisiones línea proyecto (EP)'!Q16</f>
        <v>VALORIZACIÓN ENERGÉTICA</v>
      </c>
      <c r="C26" s="1">
        <f>'Emisiones línea proyecto (EP)'!O16</f>
        <v>0</v>
      </c>
      <c r="D26" s="1">
        <f>'Emisiones línea proyecto (EP)'!P16</f>
        <v>0</v>
      </c>
      <c r="E26" s="3"/>
    </row>
    <row r="27" spans="2:5" ht="15" x14ac:dyDescent="0.25">
      <c r="B27" s="3"/>
      <c r="C27" s="3"/>
      <c r="D27" s="3"/>
      <c r="E27" s="3"/>
    </row>
    <row r="28" spans="2:5" ht="15" x14ac:dyDescent="0.25">
      <c r="B28" s="128" t="s">
        <v>104</v>
      </c>
      <c r="C28" s="3"/>
      <c r="D28" s="3"/>
      <c r="E28" s="3"/>
    </row>
    <row r="29" spans="2:5" ht="15" x14ac:dyDescent="0.25">
      <c r="B29" s="1" t="s">
        <v>105</v>
      </c>
      <c r="C29" s="3"/>
      <c r="D29" s="3"/>
      <c r="E29" s="3"/>
    </row>
    <row r="30" spans="2:5" ht="15" x14ac:dyDescent="0.25">
      <c r="B30" s="1" t="s">
        <v>106</v>
      </c>
      <c r="C30" s="3"/>
      <c r="D30" s="3"/>
      <c r="E30" s="3"/>
    </row>
    <row r="31" spans="2:5" ht="15" x14ac:dyDescent="0.25">
      <c r="B31" s="1" t="s">
        <v>107</v>
      </c>
      <c r="C31" s="3"/>
      <c r="D31" s="3"/>
      <c r="E31" s="3"/>
    </row>
    <row r="32" spans="2:5" ht="15" x14ac:dyDescent="0.25">
      <c r="B32" s="1" t="s">
        <v>108</v>
      </c>
      <c r="C32" s="3"/>
      <c r="D32" s="3"/>
      <c r="E32" s="3"/>
    </row>
    <row r="33" spans="2:5" ht="15" x14ac:dyDescent="0.25">
      <c r="B33" s="1" t="s">
        <v>109</v>
      </c>
      <c r="C33" s="3"/>
      <c r="D33" s="3"/>
      <c r="E33" s="3"/>
    </row>
    <row r="34" spans="2:5" ht="15" x14ac:dyDescent="0.25">
      <c r="B34" s="1" t="s">
        <v>188</v>
      </c>
      <c r="C34" s="3"/>
      <c r="D34" s="3"/>
      <c r="E34" s="3"/>
    </row>
    <row r="35" spans="2:5" ht="15" x14ac:dyDescent="0.25">
      <c r="B35" s="1" t="s">
        <v>110</v>
      </c>
      <c r="C35" s="3"/>
      <c r="D35" s="3"/>
      <c r="E35" s="3"/>
    </row>
    <row r="36" spans="2:5" ht="15" x14ac:dyDescent="0.25">
      <c r="B36" s="3"/>
      <c r="C36" s="3"/>
      <c r="D36" s="3"/>
      <c r="E36" s="3"/>
    </row>
    <row r="37" spans="2:5" ht="15" x14ac:dyDescent="0.25">
      <c r="B37" s="3"/>
      <c r="C37" s="128" t="s">
        <v>68</v>
      </c>
      <c r="D37" s="3"/>
      <c r="E37" s="3"/>
    </row>
    <row r="38" spans="2:5" ht="15" x14ac:dyDescent="0.25">
      <c r="B38" s="1" t="s">
        <v>111</v>
      </c>
      <c r="C38" s="6">
        <f>'Emisiones línea proyecto (EP)'!M80+'Emisiones línea proyecto (EP)'!R87</f>
        <v>0</v>
      </c>
      <c r="D38" s="3"/>
      <c r="E38" s="3"/>
    </row>
    <row r="39" spans="2:5" ht="15" x14ac:dyDescent="0.25">
      <c r="B39" s="1" t="s">
        <v>69</v>
      </c>
      <c r="C39" s="6">
        <f>'Emisiones línea proyecto (EP)'!M79+'Emisiones línea proyecto (EP)'!R86</f>
        <v>0</v>
      </c>
      <c r="D39" s="3"/>
      <c r="E39" s="3"/>
    </row>
    <row r="40" spans="2:5" ht="15" x14ac:dyDescent="0.25">
      <c r="B40" s="1" t="s">
        <v>64</v>
      </c>
      <c r="C40" s="6">
        <v>0</v>
      </c>
      <c r="D40" s="3"/>
      <c r="E40" s="3"/>
    </row>
    <row r="41" spans="2:5" ht="15" x14ac:dyDescent="0.25">
      <c r="B41" s="1" t="s">
        <v>39</v>
      </c>
      <c r="C41" s="13">
        <f>'Emisiones línea base (EB)'!M76</f>
        <v>0</v>
      </c>
      <c r="D41" s="3"/>
      <c r="E41" s="3"/>
    </row>
    <row r="42" spans="2:5" ht="15" x14ac:dyDescent="0.25">
      <c r="B42" s="3"/>
      <c r="C42" s="3"/>
      <c r="D42" s="3"/>
      <c r="E42" s="3"/>
    </row>
    <row r="43" spans="2:5" ht="15" x14ac:dyDescent="0.25">
      <c r="B43" s="128" t="s">
        <v>128</v>
      </c>
      <c r="C43" s="3"/>
      <c r="D43" s="3"/>
      <c r="E43" s="3"/>
    </row>
    <row r="44" spans="2:5" ht="15" x14ac:dyDescent="0.25">
      <c r="B44" s="1" t="s">
        <v>49</v>
      </c>
      <c r="C44" s="3"/>
      <c r="D44" s="3"/>
      <c r="E44" s="3"/>
    </row>
    <row r="45" spans="2:5" ht="15" x14ac:dyDescent="0.25">
      <c r="B45" s="1" t="s">
        <v>50</v>
      </c>
      <c r="C45" s="3"/>
      <c r="D45" s="3"/>
      <c r="E45" s="3"/>
    </row>
    <row r="46" spans="2:5" ht="15" x14ac:dyDescent="0.25">
      <c r="B46" s="1" t="s">
        <v>51</v>
      </c>
      <c r="C46" s="3"/>
      <c r="D46" s="3"/>
      <c r="E46" s="3"/>
    </row>
    <row r="47" spans="2:5" ht="15" customHeight="1" x14ac:dyDescent="0.25">
      <c r="B47" s="1" t="s">
        <v>52</v>
      </c>
      <c r="C47" s="3"/>
      <c r="D47" s="3"/>
      <c r="E47" s="3"/>
    </row>
    <row r="48" spans="2:5" ht="15" customHeight="1" x14ac:dyDescent="0.25">
      <c r="B48" s="1" t="s">
        <v>129</v>
      </c>
      <c r="C48" s="3"/>
      <c r="D48" s="3"/>
      <c r="E48" s="3"/>
    </row>
    <row r="49" spans="2:5" ht="15" x14ac:dyDescent="0.25">
      <c r="B49" s="1" t="s">
        <v>130</v>
      </c>
      <c r="C49" s="3"/>
      <c r="D49" s="3"/>
      <c r="E49" s="3"/>
    </row>
    <row r="50" spans="2:5" ht="15" x14ac:dyDescent="0.25">
      <c r="B50" s="3"/>
      <c r="C50" s="3"/>
      <c r="D50" s="3"/>
      <c r="E50" s="3"/>
    </row>
    <row r="51" spans="2:5" ht="15" x14ac:dyDescent="0.25">
      <c r="B51" s="128" t="s">
        <v>176</v>
      </c>
      <c r="C51" s="128" t="s">
        <v>53</v>
      </c>
      <c r="D51" s="3"/>
      <c r="E51" s="3"/>
    </row>
    <row r="52" spans="2:5" ht="15" x14ac:dyDescent="0.25">
      <c r="B52" s="1">
        <f>'Emisiones línea base (EB)'!G11</f>
        <v>0</v>
      </c>
      <c r="C52" s="1">
        <f>'Emisiones línea base (EB)'!I11</f>
        <v>0</v>
      </c>
      <c r="D52" s="3"/>
      <c r="E52" s="3"/>
    </row>
    <row r="53" spans="2:5" ht="15" x14ac:dyDescent="0.25">
      <c r="B53" s="1">
        <f>'Emisiones línea base (EB)'!J11</f>
        <v>0</v>
      </c>
      <c r="C53" s="1">
        <f>'Emisiones línea base (EB)'!L11</f>
        <v>0</v>
      </c>
      <c r="D53" s="3"/>
      <c r="E53" s="3"/>
    </row>
    <row r="54" spans="2:5" ht="15" x14ac:dyDescent="0.25">
      <c r="B54" s="3"/>
      <c r="C54" s="3"/>
      <c r="D54" s="3"/>
      <c r="E54" s="3"/>
    </row>
    <row r="55" spans="2:5" ht="15" x14ac:dyDescent="0.25">
      <c r="B55" s="3"/>
      <c r="C55" s="3"/>
      <c r="D55" s="3"/>
      <c r="E55" s="3"/>
    </row>
  </sheetData>
  <sheetProtection password="D151"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Alcance y contenido</vt:lpstr>
      <vt:lpstr>Diagrama de flujo</vt:lpstr>
      <vt:lpstr>Emisiones línea base (EB)</vt:lpstr>
      <vt:lpstr>Emisiones línea proyecto (EP)</vt:lpstr>
      <vt:lpstr>Resumen emisiones</vt:lpstr>
      <vt:lpstr>CALCULADORA DIG_COMPOS</vt:lpstr>
      <vt:lpstr>Listas calculos</vt:lpstr>
      <vt:lpstr>Combustible</vt:lpstr>
      <vt:lpstr>COMBUSTIBLE2</vt:lpstr>
      <vt:lpstr>'Emisiones línea proyecto (EP)'!Consulta_desde_DANIEL_2</vt:lpstr>
      <vt:lpstr>DESTINO_FS</vt:lpstr>
      <vt:lpstr>Proceso</vt:lpstr>
      <vt:lpstr>Residuos</vt:lpstr>
    </vt:vector>
  </TitlesOfParts>
  <Company>Análisis Estadístico de Datos,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José Rincón Cristóbal</dc:creator>
  <cp:lastModifiedBy>OECC</cp:lastModifiedBy>
  <cp:lastPrinted>2017-07-21T12:17:30Z</cp:lastPrinted>
  <dcterms:created xsi:type="dcterms:W3CDTF">1996-11-27T10:00:04Z</dcterms:created>
  <dcterms:modified xsi:type="dcterms:W3CDTF">2022-11-24T11:30:55Z</dcterms:modified>
</cp:coreProperties>
</file>